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465" windowWidth="29040" windowHeight="16440"/>
  </bookViews>
  <sheets>
    <sheet name="2020-21" sheetId="5" r:id="rId1"/>
    <sheet name="Savings" sheetId="7" r:id="rId2"/>
    <sheet name="Tax Computation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et3">'[1]FORM-16'!#REF!</definedName>
    <definedName name="_MP1">[2]entitlements!#REF!</definedName>
    <definedName name="_NO3">#REF!</definedName>
    <definedName name="_NO5">#REF!</definedName>
    <definedName name="_NO7">#REF!</definedName>
    <definedName name="_qya3">#REF!</definedName>
    <definedName name="a">#REF!</definedName>
    <definedName name="aa">'[3]FORM-16'!#REF!</definedName>
    <definedName name="aaaa">'[4]FORM-16'!#REF!</definedName>
    <definedName name="aaaaaaaa">'[3]FORM-16'!#REF!</definedName>
    <definedName name="ac">'[3]FORM-16'!#REF!</definedName>
    <definedName name="adrga">#REF!</definedName>
    <definedName name="aertert">'[1]FORM-16'!#REF!</definedName>
    <definedName name="aet">[2]entitlements!#REF!</definedName>
    <definedName name="aet4t">'[1]FORM-16'!#REF!</definedName>
    <definedName name="aetga">#REF!</definedName>
    <definedName name="aetq4t">#REF!</definedName>
    <definedName name="aey">#REF!</definedName>
    <definedName name="AEY45AY">'[4]FORM-16'!#REF!</definedName>
    <definedName name="AEYA5Y">'[4]FORM-16'!#REF!</definedName>
    <definedName name="aeyae">'[5]FORM-16'!$B$1:$K$61</definedName>
    <definedName name="aeyAEY">'[4]FORM-16'!#REF!</definedName>
    <definedName name="AEYAY">'[4]FORM-16'!#REF!</definedName>
    <definedName name="AEYRAY">'[4]FORM-16'!#REF!</definedName>
    <definedName name="aeyrq">'[5]FORM-16'!$B$63:$K$135</definedName>
    <definedName name="aeyt">'[6]FORM-16'!$A$63:$J$135</definedName>
    <definedName name="AEYY">'[4]FORM-16'!#REF!</definedName>
    <definedName name="ag">#REF!</definedName>
    <definedName name="agea">[2]entitlements!#REF!</definedName>
    <definedName name="arey">'[3]FORM-16'!#REF!</definedName>
    <definedName name="areya">#REF!</definedName>
    <definedName name="arga">[7]!words</definedName>
    <definedName name="arhyae">#REF!</definedName>
    <definedName name="aryaey">[7]!words</definedName>
    <definedName name="asd">'[1]FORM-16'!#REF!</definedName>
    <definedName name="asegt">[8]!words</definedName>
    <definedName name="asg">'[3]FORM-16'!#REF!</definedName>
    <definedName name="atat">#REF!</definedName>
    <definedName name="awyY">#REF!</definedName>
    <definedName name="AY5Y">'[4]FORM-16'!#REF!</definedName>
    <definedName name="AYAY">'[4]FORM-16'!#REF!</definedName>
    <definedName name="AYHT">'[4]FORM-16'!#REF!</definedName>
    <definedName name="AYSEY">'[4]FORM-16'!#REF!</definedName>
    <definedName name="b">#REF!</definedName>
    <definedName name="bi">#REF!</definedName>
    <definedName name="da">'[3]FORM-16'!#REF!</definedName>
    <definedName name="db">'[3]FORM-16'!#REF!</definedName>
    <definedName name="dgae">#REF!</definedName>
    <definedName name="drgarhy">#REF!</definedName>
    <definedName name="dtu">'[1]FORM-16'!#REF!</definedName>
    <definedName name="dtyr">'[9]FORM-16'!$A$1:$J$61</definedName>
    <definedName name="eay">[10]entitlements!#REF!</definedName>
    <definedName name="ei">#REF!</definedName>
    <definedName name="eratret">'[1]FORM-16'!#REF!</definedName>
    <definedName name="erteat">'[1]FORM-16'!#REF!</definedName>
    <definedName name="ertet">'[1]FORM-16'!#REF!</definedName>
    <definedName name="eryq43y7">'[9]FORM-16'!$A$63:$J$135</definedName>
    <definedName name="et4twq">'[1]FORM-16'!#REF!</definedName>
    <definedName name="eta34t">'[1]FORM-16'!#REF!</definedName>
    <definedName name="etaet">'[1]FORM-16'!#REF!</definedName>
    <definedName name="etu">'[11]FORM-16'!$A$63:$J$135</definedName>
    <definedName name="EWGFEWg">#REF!</definedName>
    <definedName name="ewtew">[2]entitlements!#REF!</definedName>
    <definedName name="ewtr">#REF!</definedName>
    <definedName name="EY5Y">'[4]FORM-16'!#REF!</definedName>
    <definedName name="fd">[2]entitlements!#REF!</definedName>
    <definedName name="fwef">#REF!</definedName>
    <definedName name="ga">'[3]FORM-16'!#REF!</definedName>
    <definedName name="gb">'[3]FORM-16'!#REF!</definedName>
    <definedName name="gfjf">#REF!</definedName>
    <definedName name="GWEEygera">#REF!</definedName>
    <definedName name="ha">'[3]FORM-16'!#REF!</definedName>
    <definedName name="hardyg">'[3]FORM-16'!#REF!</definedName>
    <definedName name="hb">'[3]FORM-16'!#REF!</definedName>
    <definedName name="i">'[1]FORM-16'!#REF!</definedName>
    <definedName name="income">#REF!</definedName>
    <definedName name="INSTRUCT">#REF!</definedName>
    <definedName name="int">'[1]FORM-16'!#REF!</definedName>
    <definedName name="interest">'[1]FORM-16'!#REF!</definedName>
    <definedName name="iuw5i">#REF!</definedName>
    <definedName name="ja">#REF!</definedName>
    <definedName name="jb">#REF!</definedName>
    <definedName name="k" localSheetId="1">'[12]Form 16'!$B$63:$K$121</definedName>
    <definedName name="k">'[13]Form 16'!$B$63:$K$121</definedName>
    <definedName name="ka">'[3]FORM-16'!#REF!</definedName>
    <definedName name="kb">'[3]FORM-16'!#REF!</definedName>
    <definedName name="LETTER">#REF!</definedName>
    <definedName name="LOCAL">#REF!</definedName>
    <definedName name="mp" localSheetId="1">[14]entitlements!#REF!</definedName>
    <definedName name="mp">[15]entitlements!#REF!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Savings!$A$1:$E$67</definedName>
    <definedName name="_xlnm.Print_Area">#REF!</definedName>
    <definedName name="qregt3yg">#REF!</definedName>
    <definedName name="QUARTER1">#REF!</definedName>
    <definedName name="QUARTER2">#REF!</definedName>
    <definedName name="QUARTER3">#REF!</definedName>
    <definedName name="QUARTER4">#REF!</definedName>
    <definedName name="qwerrt">#REF!</definedName>
    <definedName name="RAEYAEY">'[4]FORM-16'!#REF!</definedName>
    <definedName name="rdteqt">'[1]FORM-16'!#REF!</definedName>
    <definedName name="rsaya">[16]!words</definedName>
    <definedName name="rtert">'[1]FORM-16'!#REF!</definedName>
    <definedName name="ry">'[6]FORM-16'!$A$1:$J$61</definedName>
    <definedName name="sa">'[3]FORM-16'!#REF!</definedName>
    <definedName name="sary">'[11]FORM-16'!$A$1:$J$61</definedName>
    <definedName name="sb">'[3]FORM-16'!#REF!</definedName>
    <definedName name="sdtdf">'[1]FORM-16'!#REF!</definedName>
    <definedName name="seyya">'[3]FORM-16'!#REF!</definedName>
    <definedName name="sft">#REF!</definedName>
    <definedName name="sh">#REF!</definedName>
    <definedName name="srdy">'[3]FORM-16'!#REF!</definedName>
    <definedName name="sreya">'[3]FORM-16'!#REF!</definedName>
    <definedName name="srty">'[3]FORM-16'!#REF!</definedName>
    <definedName name="sTFg">[2]entitlements!#REF!</definedName>
    <definedName name="surtu">#REF!</definedName>
    <definedName name="syas">'[3]FORM-16'!#REF!</definedName>
    <definedName name="szg">#REF!</definedName>
    <definedName name="t">'[6]FORM-16'!$A$63:$J$135</definedName>
    <definedName name="tax">#REF!</definedName>
    <definedName name="tens">#REF!</definedName>
    <definedName name="TOTAL">#REF!</definedName>
    <definedName name="tou">#REF!</definedName>
    <definedName name="trdut">'[1]FORM-16'!#REF!</definedName>
    <definedName name="trsy">'[3]FORM-16'!#REF!</definedName>
    <definedName name="units">#REF!</definedName>
    <definedName name="USDOLLARS">#REF!</definedName>
    <definedName name="w5y">#REF!</definedName>
    <definedName name="wa">'[3]FORM-16'!#REF!</definedName>
    <definedName name="wat">'[6]FORM-16'!$A$1:$J$61</definedName>
    <definedName name="wb">'[3]FORM-16'!#REF!</definedName>
    <definedName name="wetw">#REF!</definedName>
    <definedName name="words">[7]!words</definedName>
    <definedName name="xxxx">#REF!</definedName>
    <definedName name="xyz">#REF!</definedName>
    <definedName name="ya5y">[16]!words</definedName>
    <definedName name="YEARLOCAL">#REF!</definedName>
    <definedName name="Yes" localSheetId="1">#REF!</definedName>
    <definedName name="Yes">'2020-21'!$D$91</definedName>
    <definedName name="ytruy">'[1]FORM-16'!#REF!</definedName>
    <definedName name="z">#REF!</definedName>
    <definedName name="zfgha">#REF!</definedName>
  </definedNames>
  <calcPr calcId="124519"/>
</workbook>
</file>

<file path=xl/calcChain.xml><?xml version="1.0" encoding="utf-8"?>
<calcChain xmlns="http://schemas.openxmlformats.org/spreadsheetml/2006/main">
  <c r="P58" i="5"/>
  <c r="P98"/>
  <c r="C59"/>
  <c r="P59"/>
  <c r="Q61"/>
  <c r="Q64"/>
  <c r="Q69"/>
  <c r="Q105"/>
  <c r="D44"/>
  <c r="E44"/>
  <c r="F44"/>
  <c r="G44"/>
  <c r="H44"/>
  <c r="I44"/>
  <c r="J44"/>
  <c r="K44"/>
  <c r="L44"/>
  <c r="M44"/>
  <c r="N44"/>
  <c r="O44"/>
  <c r="N190"/>
  <c r="Q116"/>
  <c r="N191"/>
  <c r="O191" s="1"/>
  <c r="M190" s="1"/>
  <c r="O188"/>
  <c r="O182"/>
  <c r="O183"/>
  <c r="O185"/>
  <c r="O186"/>
  <c r="O187"/>
  <c r="O184"/>
  <c r="P66"/>
  <c r="P91"/>
  <c r="P92"/>
  <c r="P93"/>
  <c r="P95"/>
  <c r="I55" i="8"/>
  <c r="T174" i="5"/>
  <c r="T173"/>
  <c r="T172"/>
  <c r="T171"/>
  <c r="E8"/>
  <c r="F8"/>
  <c r="G8"/>
  <c r="H8"/>
  <c r="I8"/>
  <c r="J8"/>
  <c r="K8"/>
  <c r="L8"/>
  <c r="M8"/>
  <c r="N8"/>
  <c r="O8"/>
  <c r="P8"/>
  <c r="E9"/>
  <c r="F9"/>
  <c r="G9"/>
  <c r="H9"/>
  <c r="I9"/>
  <c r="J9"/>
  <c r="K9"/>
  <c r="L9"/>
  <c r="M9"/>
  <c r="N9"/>
  <c r="O9"/>
  <c r="P9"/>
  <c r="E10"/>
  <c r="F10"/>
  <c r="G10"/>
  <c r="H10"/>
  <c r="I10"/>
  <c r="J10"/>
  <c r="K10"/>
  <c r="L10"/>
  <c r="M10"/>
  <c r="N10"/>
  <c r="O10"/>
  <c r="P10"/>
  <c r="E11"/>
  <c r="F11"/>
  <c r="G11"/>
  <c r="H11"/>
  <c r="I11"/>
  <c r="J11"/>
  <c r="K11"/>
  <c r="L11"/>
  <c r="M11"/>
  <c r="N11"/>
  <c r="O11"/>
  <c r="P11"/>
  <c r="E12"/>
  <c r="F12"/>
  <c r="G12"/>
  <c r="H12"/>
  <c r="I12"/>
  <c r="J12"/>
  <c r="K12"/>
  <c r="L12"/>
  <c r="M12"/>
  <c r="N12"/>
  <c r="O12"/>
  <c r="P12"/>
  <c r="E13"/>
  <c r="F13"/>
  <c r="G13"/>
  <c r="H13"/>
  <c r="I13"/>
  <c r="J13"/>
  <c r="K13"/>
  <c r="L13"/>
  <c r="M13"/>
  <c r="N13"/>
  <c r="O13"/>
  <c r="P13"/>
  <c r="P14"/>
  <c r="P15"/>
  <c r="P16"/>
  <c r="P17"/>
  <c r="P18"/>
  <c r="E19"/>
  <c r="F19"/>
  <c r="G19"/>
  <c r="H19"/>
  <c r="I19"/>
  <c r="J19"/>
  <c r="K19"/>
  <c r="L19"/>
  <c r="M19"/>
  <c r="N19"/>
  <c r="O19"/>
  <c r="P19"/>
  <c r="E20"/>
  <c r="F20"/>
  <c r="G20"/>
  <c r="H20"/>
  <c r="I20"/>
  <c r="J20"/>
  <c r="K20"/>
  <c r="L20"/>
  <c r="M20"/>
  <c r="N20"/>
  <c r="O20"/>
  <c r="P20"/>
  <c r="E21"/>
  <c r="F21"/>
  <c r="G21"/>
  <c r="H21"/>
  <c r="I21"/>
  <c r="J21"/>
  <c r="K21"/>
  <c r="L21"/>
  <c r="M21"/>
  <c r="N21"/>
  <c r="O21"/>
  <c r="P21"/>
  <c r="E22"/>
  <c r="F22"/>
  <c r="G22"/>
  <c r="H22"/>
  <c r="I22"/>
  <c r="J22"/>
  <c r="K22"/>
  <c r="L22"/>
  <c r="M22"/>
  <c r="N22"/>
  <c r="O22"/>
  <c r="P22"/>
  <c r="E23"/>
  <c r="F23"/>
  <c r="G23"/>
  <c r="H23"/>
  <c r="I23"/>
  <c r="J23"/>
  <c r="K23"/>
  <c r="L23"/>
  <c r="M23"/>
  <c r="N23"/>
  <c r="O23"/>
  <c r="P23"/>
  <c r="E24"/>
  <c r="F24"/>
  <c r="G24"/>
  <c r="H24"/>
  <c r="I24"/>
  <c r="J24"/>
  <c r="K24"/>
  <c r="L24"/>
  <c r="M24"/>
  <c r="N24"/>
  <c r="O24"/>
  <c r="P24"/>
  <c r="E25"/>
  <c r="F25"/>
  <c r="G25"/>
  <c r="H25"/>
  <c r="I25"/>
  <c r="J25"/>
  <c r="K25"/>
  <c r="L25"/>
  <c r="M25"/>
  <c r="N25"/>
  <c r="O25"/>
  <c r="P25"/>
  <c r="E26"/>
  <c r="F26"/>
  <c r="G26"/>
  <c r="H26"/>
  <c r="I26"/>
  <c r="J26"/>
  <c r="K26"/>
  <c r="L26"/>
  <c r="M26"/>
  <c r="N26"/>
  <c r="O26"/>
  <c r="P26"/>
  <c r="P27"/>
  <c r="P28"/>
  <c r="P29"/>
  <c r="E30"/>
  <c r="F30"/>
  <c r="G30"/>
  <c r="H30"/>
  <c r="I30"/>
  <c r="J30"/>
  <c r="K30"/>
  <c r="L30"/>
  <c r="M30"/>
  <c r="N30"/>
  <c r="O30"/>
  <c r="P30"/>
  <c r="P31"/>
  <c r="P32"/>
  <c r="P33"/>
  <c r="P34"/>
  <c r="P35"/>
  <c r="P36"/>
  <c r="P37"/>
  <c r="P38"/>
  <c r="P131"/>
  <c r="P39"/>
  <c r="Q39"/>
  <c r="E43"/>
  <c r="E42"/>
  <c r="F43"/>
  <c r="F42"/>
  <c r="G43"/>
  <c r="G42"/>
  <c r="H43"/>
  <c r="H42"/>
  <c r="I43"/>
  <c r="I42"/>
  <c r="J43"/>
  <c r="J42"/>
  <c r="K43"/>
  <c r="K42"/>
  <c r="L43"/>
  <c r="L42"/>
  <c r="M43"/>
  <c r="M42"/>
  <c r="N43"/>
  <c r="N42"/>
  <c r="O43"/>
  <c r="O42"/>
  <c r="P47"/>
  <c r="C48"/>
  <c r="P48"/>
  <c r="C49"/>
  <c r="P49"/>
  <c r="C50"/>
  <c r="P50"/>
  <c r="C51"/>
  <c r="P51"/>
  <c r="C52"/>
  <c r="P52"/>
  <c r="C53"/>
  <c r="P53"/>
  <c r="C54"/>
  <c r="P54"/>
  <c r="C55"/>
  <c r="P55"/>
  <c r="C56"/>
  <c r="P56"/>
  <c r="P57"/>
  <c r="C58"/>
  <c r="P68"/>
  <c r="C60"/>
  <c r="P60"/>
  <c r="P121"/>
  <c r="P62"/>
  <c r="P128"/>
  <c r="C63"/>
  <c r="P63"/>
  <c r="P67"/>
  <c r="J17" i="7"/>
  <c r="C72" i="5"/>
  <c r="C85" s="1"/>
  <c r="P122"/>
  <c r="P124"/>
  <c r="C73"/>
  <c r="D17" i="7"/>
  <c r="C74" i="5"/>
  <c r="M17" i="7"/>
  <c r="C75" i="5"/>
  <c r="G33" i="7"/>
  <c r="C76" i="5"/>
  <c r="J33" i="7"/>
  <c r="C77" i="5"/>
  <c r="M33" i="7"/>
  <c r="C78" i="5"/>
  <c r="D48" i="7"/>
  <c r="C79" i="5"/>
  <c r="G48" i="7"/>
  <c r="C80" i="5"/>
  <c r="J48" i="7"/>
  <c r="C81" i="5"/>
  <c r="M48" i="7"/>
  <c r="C82" i="5"/>
  <c r="D63" i="7"/>
  <c r="C86" i="5"/>
  <c r="P123"/>
  <c r="C87"/>
  <c r="P129"/>
  <c r="C90"/>
  <c r="P90"/>
  <c r="P94"/>
  <c r="P96"/>
  <c r="P97"/>
  <c r="P99"/>
  <c r="C100"/>
  <c r="P100"/>
  <c r="C101"/>
  <c r="P101"/>
  <c r="N180"/>
  <c r="H190"/>
  <c r="C47"/>
  <c r="I58" i="8"/>
  <c r="G58"/>
  <c r="I57"/>
  <c r="G57"/>
  <c r="I56"/>
  <c r="I53"/>
  <c r="I54"/>
  <c r="G56"/>
  <c r="G53"/>
  <c r="G54"/>
  <c r="G55"/>
  <c r="I51"/>
  <c r="I52"/>
  <c r="E3"/>
  <c r="G6" s="1"/>
  <c r="G17" s="1"/>
  <c r="E11"/>
  <c r="E12"/>
  <c r="E13"/>
  <c r="E21"/>
  <c r="G23" s="1"/>
  <c r="E28"/>
  <c r="G31" s="1"/>
  <c r="E29"/>
  <c r="E30"/>
  <c r="G52"/>
  <c r="G51"/>
  <c r="G49"/>
  <c r="G48"/>
  <c r="G47"/>
  <c r="G46"/>
  <c r="G45"/>
  <c r="G44"/>
  <c r="G43"/>
  <c r="G42"/>
  <c r="G41"/>
  <c r="G40"/>
  <c r="G39"/>
  <c r="G38"/>
  <c r="D132" i="5"/>
  <c r="E132"/>
  <c r="F132"/>
  <c r="G132"/>
  <c r="H132"/>
  <c r="I132"/>
  <c r="J132"/>
  <c r="K132"/>
  <c r="L132"/>
  <c r="M132"/>
  <c r="N132"/>
  <c r="O132"/>
  <c r="P132"/>
  <c r="P137"/>
  <c r="E146"/>
  <c r="E145"/>
  <c r="C145"/>
  <c r="I190"/>
  <c r="J190" s="1"/>
  <c r="C99"/>
  <c r="E203"/>
  <c r="E215" s="1"/>
  <c r="P130"/>
  <c r="D33" i="7"/>
  <c r="P127" i="5"/>
  <c r="P126"/>
  <c r="D39"/>
  <c r="D134"/>
  <c r="D135"/>
  <c r="P125"/>
  <c r="E148"/>
  <c r="E147"/>
  <c r="P120"/>
  <c r="P116"/>
  <c r="E204"/>
  <c r="D65" i="7"/>
  <c r="E209" i="5"/>
  <c r="F209"/>
  <c r="N178"/>
  <c r="N179"/>
  <c r="N177"/>
  <c r="E214"/>
  <c r="P42"/>
  <c r="E39"/>
  <c r="E134"/>
  <c r="E135"/>
  <c r="F39"/>
  <c r="F134"/>
  <c r="F135"/>
  <c r="G39"/>
  <c r="G134"/>
  <c r="G135"/>
  <c r="I39"/>
  <c r="I134"/>
  <c r="I135"/>
  <c r="H39"/>
  <c r="H134"/>
  <c r="H135"/>
  <c r="J39"/>
  <c r="J134"/>
  <c r="J135"/>
  <c r="K39"/>
  <c r="K134"/>
  <c r="K135"/>
  <c r="L39"/>
  <c r="L134"/>
  <c r="L135"/>
  <c r="M39"/>
  <c r="M134"/>
  <c r="M135"/>
  <c r="N39"/>
  <c r="N134"/>
  <c r="N135"/>
  <c r="O39"/>
  <c r="O134"/>
  <c r="O135"/>
  <c r="P44"/>
  <c r="E9" i="8"/>
  <c r="E14"/>
  <c r="N188" i="5"/>
  <c r="Q107"/>
  <c r="M188"/>
  <c r="M191" s="1"/>
  <c r="N194" s="1"/>
  <c r="P61"/>
  <c r="P64"/>
  <c r="P69"/>
  <c r="E195"/>
  <c r="G15" i="8"/>
  <c r="P103" i="5"/>
  <c r="E196"/>
  <c r="E197"/>
  <c r="E201"/>
  <c r="E173"/>
  <c r="K173"/>
  <c r="Q174"/>
  <c r="Q172"/>
  <c r="Q173"/>
  <c r="Q171"/>
  <c r="S174"/>
  <c r="S172"/>
  <c r="S173"/>
  <c r="S171"/>
  <c r="E174"/>
  <c r="K174"/>
  <c r="R174"/>
  <c r="R172"/>
  <c r="E172"/>
  <c r="K172"/>
  <c r="R173"/>
  <c r="E171"/>
  <c r="K171"/>
  <c r="R171"/>
  <c r="F172"/>
  <c r="L172"/>
  <c r="F171"/>
  <c r="L171"/>
  <c r="F173"/>
  <c r="L173"/>
  <c r="O190"/>
  <c r="G171"/>
  <c r="F174"/>
  <c r="G172"/>
  <c r="L174"/>
  <c r="G174"/>
  <c r="G173"/>
  <c r="M173"/>
  <c r="M171"/>
  <c r="H171"/>
  <c r="M172"/>
  <c r="H172"/>
  <c r="N172"/>
  <c r="M174"/>
  <c r="H174"/>
  <c r="N171"/>
  <c r="I171"/>
  <c r="O171"/>
  <c r="H173"/>
  <c r="I172"/>
  <c r="O172"/>
  <c r="N174"/>
  <c r="I174"/>
  <c r="N173"/>
  <c r="I173"/>
  <c r="O173"/>
  <c r="J171"/>
  <c r="P171"/>
  <c r="D171"/>
  <c r="J172"/>
  <c r="P172"/>
  <c r="D172"/>
  <c r="O174"/>
  <c r="J174"/>
  <c r="P174"/>
  <c r="D174"/>
  <c r="C170"/>
  <c r="Q109" s="1"/>
  <c r="J173"/>
  <c r="P173"/>
  <c r="D173"/>
  <c r="N193" l="1"/>
  <c r="F216"/>
  <c r="F219"/>
  <c r="F217"/>
  <c r="F218"/>
  <c r="Q110"/>
  <c r="Q111" s="1"/>
  <c r="Q112"/>
  <c r="M189"/>
  <c r="P191" s="1"/>
  <c r="N195" s="1"/>
  <c r="C88"/>
  <c r="P88"/>
  <c r="I25" i="8"/>
  <c r="I33" s="1"/>
  <c r="Q113" i="5" l="1"/>
  <c r="Q114" s="1"/>
  <c r="Q115" s="1"/>
  <c r="Q117" s="1"/>
  <c r="E198"/>
  <c r="E199" s="1"/>
  <c r="P105"/>
  <c r="I49" i="8"/>
  <c r="I60" s="1"/>
  <c r="I62" s="1"/>
  <c r="E213" i="5" l="1"/>
  <c r="E202"/>
  <c r="E211"/>
  <c r="E212" s="1"/>
  <c r="E188"/>
  <c r="G188"/>
  <c r="P107"/>
  <c r="E205" l="1"/>
  <c r="F205" s="1"/>
  <c r="E206"/>
  <c r="E219"/>
  <c r="G219" s="1"/>
  <c r="E218"/>
  <c r="G218" s="1"/>
  <c r="E216"/>
  <c r="G216" s="1"/>
  <c r="E217"/>
  <c r="G217" s="1"/>
  <c r="K178"/>
  <c r="L177"/>
  <c r="C166"/>
  <c r="C165"/>
  <c r="D166"/>
  <c r="M179"/>
  <c r="K177"/>
  <c r="E179"/>
  <c r="H179" s="1"/>
  <c r="C167"/>
  <c r="M180"/>
  <c r="E177"/>
  <c r="H177" s="1"/>
  <c r="L178"/>
  <c r="E166"/>
  <c r="E167"/>
  <c r="D168"/>
  <c r="D167"/>
  <c r="M178"/>
  <c r="K179"/>
  <c r="L179"/>
  <c r="E168"/>
  <c r="F164"/>
  <c r="E178"/>
  <c r="H178" s="1"/>
  <c r="E165"/>
  <c r="K180"/>
  <c r="M177"/>
  <c r="E180"/>
  <c r="H180" s="1"/>
  <c r="D165"/>
  <c r="L180"/>
  <c r="C168"/>
  <c r="E192"/>
  <c r="E191"/>
  <c r="F180" l="1"/>
  <c r="E190"/>
  <c r="G190"/>
  <c r="E207"/>
  <c r="F207" s="1"/>
  <c r="F178"/>
  <c r="F179"/>
  <c r="F177"/>
  <c r="I177" l="1"/>
  <c r="G177"/>
  <c r="J177" s="1"/>
  <c r="I178"/>
  <c r="D178" s="1"/>
  <c r="G178"/>
  <c r="J178" s="1"/>
  <c r="I180"/>
  <c r="G180"/>
  <c r="J180" s="1"/>
  <c r="I179"/>
  <c r="G179"/>
  <c r="J179" s="1"/>
  <c r="E208"/>
  <c r="F208" s="1"/>
  <c r="E220" s="1"/>
  <c r="H216" l="1"/>
  <c r="I216" s="1"/>
  <c r="H217"/>
  <c r="I217" s="1"/>
  <c r="D179"/>
  <c r="H218"/>
  <c r="I218" s="1"/>
  <c r="H219"/>
  <c r="I219" s="1"/>
  <c r="E221" s="1"/>
  <c r="D180"/>
  <c r="C176" s="1"/>
  <c r="D177"/>
  <c r="P109" l="1"/>
  <c r="E189"/>
  <c r="J197" s="1"/>
  <c r="G189"/>
  <c r="G191" s="1"/>
  <c r="G192" s="1"/>
  <c r="P112" s="1"/>
  <c r="P110" l="1"/>
  <c r="P111" s="1"/>
  <c r="P113" l="1"/>
  <c r="I224"/>
  <c r="P114" l="1"/>
  <c r="I64" i="8"/>
  <c r="I66" l="1"/>
  <c r="I68" s="1"/>
  <c r="I72" s="1"/>
  <c r="P115" i="5"/>
  <c r="C142" l="1"/>
  <c r="P117"/>
  <c r="D147" l="1"/>
  <c r="F147" s="1"/>
  <c r="D148"/>
  <c r="F148" s="1"/>
  <c r="D146"/>
  <c r="F146" s="1"/>
  <c r="D145"/>
  <c r="F145" s="1"/>
</calcChain>
</file>

<file path=xl/sharedStrings.xml><?xml version="1.0" encoding="utf-8"?>
<sst xmlns="http://schemas.openxmlformats.org/spreadsheetml/2006/main" count="579" uniqueCount="299">
  <si>
    <t>Number of children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</si>
  <si>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</si>
  <si>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</si>
  <si>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</si>
  <si>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</si>
  <si>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</si>
  <si>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</si>
  <si>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</si>
  <si>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</si>
  <si>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</si>
  <si>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</si>
  <si>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</si>
  <si>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</si>
  <si>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</si>
  <si>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Leave Encashment</t>
  </si>
  <si>
    <t>Food Coupons</t>
  </si>
  <si>
    <t>Telephone Reimbursements</t>
  </si>
  <si>
    <t>Actual Rent paid as per rent receipts</t>
  </si>
  <si>
    <t>HRA Exemption</t>
  </si>
  <si>
    <t>Child Education Allowance</t>
  </si>
  <si>
    <t>Balance Salary</t>
  </si>
  <si>
    <t>Professional Tax</t>
  </si>
  <si>
    <t>Net Taxable Salary</t>
  </si>
  <si>
    <t>Gross Total Income</t>
  </si>
  <si>
    <t>Deductions under chapter VIA</t>
  </si>
  <si>
    <t xml:space="preserve"> </t>
  </si>
  <si>
    <t>Employee's contribution to PF</t>
  </si>
  <si>
    <t>Housing Loan Principal repayment</t>
  </si>
  <si>
    <t>Monthly Deductions from salary</t>
  </si>
  <si>
    <t>Car Reimbursement</t>
  </si>
  <si>
    <t>Employee's PF Contribution</t>
  </si>
  <si>
    <t>Total of Section 80C</t>
  </si>
  <si>
    <t>Pension Fund (80 CCC)</t>
  </si>
  <si>
    <t>Arrears</t>
  </si>
  <si>
    <t>Internet Expense</t>
  </si>
  <si>
    <t>Driver Salary</t>
  </si>
  <si>
    <t>Employer's PF Contribution</t>
  </si>
  <si>
    <t>Total Tax as per Consolidation Sheet:</t>
  </si>
  <si>
    <t>PARTICULARS</t>
  </si>
  <si>
    <t>%</t>
  </si>
  <si>
    <t>Gifts From Non-Relatives</t>
  </si>
  <si>
    <t>Gifts From Relatives</t>
  </si>
  <si>
    <t>Age</t>
  </si>
  <si>
    <t>Non-Taxable Allowances</t>
  </si>
  <si>
    <t>TOTAL INCOME</t>
  </si>
  <si>
    <t>Gratuity</t>
  </si>
  <si>
    <t>Female</t>
  </si>
  <si>
    <t>Male</t>
  </si>
  <si>
    <t>Gender</t>
  </si>
  <si>
    <t>Non-Metro City</t>
  </si>
  <si>
    <t>Metro City</t>
  </si>
  <si>
    <t>On loan and Self Occupied</t>
  </si>
  <si>
    <t>On loan but Rented out</t>
  </si>
  <si>
    <t>Performance Incentive/Bonus</t>
  </si>
  <si>
    <t>House Rent Allowance (HRA)</t>
  </si>
  <si>
    <t>Basic Salary</t>
  </si>
  <si>
    <t>Leave Travel Allowance (LTA)</t>
  </si>
  <si>
    <t>Periodical Journals</t>
  </si>
  <si>
    <t>Exemptions</t>
  </si>
  <si>
    <t>Other Eligible Investments</t>
  </si>
  <si>
    <t>Donations - 80G (100 % deductions)</t>
  </si>
  <si>
    <t>Donations - 80G (50 % deductions)</t>
  </si>
  <si>
    <t>Grade/Special/Management/Supplemementary Allowance</t>
  </si>
  <si>
    <t>Deduction for company provided transport</t>
  </si>
  <si>
    <t>Deduction towards company provided medical insurance</t>
  </si>
  <si>
    <t>Deduction towards State Labour welfare Fund (LWF)</t>
  </si>
  <si>
    <t>Deduction towards company provided Group Term insurance</t>
  </si>
  <si>
    <t>Savings for Tax</t>
  </si>
  <si>
    <t>GROSS TOTAL</t>
  </si>
  <si>
    <t>PPF Investments</t>
  </si>
  <si>
    <t>Insurance Policies Premium payments</t>
  </si>
  <si>
    <t>Mutual Fund investments</t>
  </si>
  <si>
    <t>Long Term infra bonds investment</t>
  </si>
  <si>
    <t>Life Insurance Premium payment</t>
  </si>
  <si>
    <t>Children Tution Fees paid</t>
  </si>
  <si>
    <t>Dearness allowance (DA)</t>
  </si>
  <si>
    <t>Other Reimbursement receipts submitted</t>
  </si>
  <si>
    <t>`</t>
  </si>
  <si>
    <t>National Savings Certificate (NSC) deposit</t>
  </si>
  <si>
    <t>NSC investments</t>
  </si>
  <si>
    <t>NSS Investments</t>
  </si>
  <si>
    <t>SCSS investments</t>
  </si>
  <si>
    <t>Tax saving Fixed deposits for 5 yrs.</t>
  </si>
  <si>
    <t>Pension Fund (80 CCC) investments</t>
  </si>
  <si>
    <t>With Severe Disability</t>
  </si>
  <si>
    <t>Without Severe Disability</t>
  </si>
  <si>
    <t>Patient Below 65 years</t>
  </si>
  <si>
    <t>Patient Above 65 years</t>
  </si>
  <si>
    <t>Availing both HRA and Home loan exemption</t>
  </si>
  <si>
    <t>Availing Only Home loan exemption</t>
  </si>
  <si>
    <t>Availing Only HRA Benefit</t>
  </si>
  <si>
    <t>Post Office/Tax saving Bonds investments</t>
  </si>
  <si>
    <t>Payable</t>
  </si>
  <si>
    <t>Paid</t>
  </si>
  <si>
    <t>Difference</t>
  </si>
  <si>
    <t>Income Tax on Total Income</t>
  </si>
  <si>
    <t>Income tax including education cess</t>
  </si>
  <si>
    <t>TDS (Tax deducted at source)</t>
  </si>
  <si>
    <t>Pending Tax Payable</t>
  </si>
  <si>
    <t>Deduction towards Leave availed</t>
  </si>
  <si>
    <t>In Hand Salary</t>
  </si>
  <si>
    <t>In Hand Salary without reimbursments</t>
  </si>
  <si>
    <t>Equity Tax saver Mutual Funds - ELSS</t>
  </si>
  <si>
    <t>Other Deductions from Employer</t>
  </si>
  <si>
    <t>Super Senior</t>
  </si>
  <si>
    <t>Senior</t>
  </si>
  <si>
    <t>STCG</t>
  </si>
  <si>
    <t>Wrong</t>
  </si>
  <si>
    <t>W/O STCG</t>
  </si>
  <si>
    <t>Uniform/Dress Allowance</t>
  </si>
  <si>
    <t>VPF (Voluntarily Provident Fund) contribution</t>
  </si>
  <si>
    <t>City Compensatory Allowance (CCA)</t>
  </si>
  <si>
    <t>Employer's NPS Contribution</t>
  </si>
  <si>
    <t>Agricultural Income</t>
  </si>
  <si>
    <t>Total Taxable Income</t>
  </si>
  <si>
    <t>Taxable Income rounded off</t>
  </si>
  <si>
    <t>ADVANCE TAX SCHEDULE - NOT APPLICABLE FOR SENIOR CITIZENS</t>
  </si>
  <si>
    <t>Saving bank account interest</t>
  </si>
  <si>
    <t>Other income (Fixed deposit /NSC/SCSS Interest)</t>
  </si>
  <si>
    <t>Professional Development Allowance</t>
  </si>
  <si>
    <t>Non taxable Gratuity</t>
  </si>
  <si>
    <t>Non taxable leave encashment</t>
  </si>
  <si>
    <t>Place of residence</t>
  </si>
  <si>
    <t>Your Name</t>
  </si>
  <si>
    <t>Name</t>
  </si>
  <si>
    <t>Surcharge</t>
  </si>
  <si>
    <t>Income tax including surcharge</t>
  </si>
  <si>
    <t>Total Home loan amount</t>
  </si>
  <si>
    <t>First home loan</t>
  </si>
  <si>
    <t>Not a first home loan</t>
  </si>
  <si>
    <t>Total Tax</t>
  </si>
  <si>
    <t>tax+surcharge</t>
  </si>
  <si>
    <t>margin</t>
  </si>
  <si>
    <t>LTCG from listed equity products/equity MFs</t>
  </si>
  <si>
    <t>STCG not from listed equity products/equity MFs</t>
  </si>
  <si>
    <t>STCG from listed equity products/equity MFs</t>
  </si>
  <si>
    <t>LTCG @ 20%</t>
  </si>
  <si>
    <t>LTCG @ 10%</t>
  </si>
  <si>
    <t>30% slab</t>
  </si>
  <si>
    <t>20% slab</t>
  </si>
  <si>
    <t>30% tax</t>
  </si>
  <si>
    <t>20% tax</t>
  </si>
  <si>
    <t>Letout property Home Loan Interest</t>
  </si>
  <si>
    <t>Municipal taxes paid on letout properties</t>
  </si>
  <si>
    <t>Non taxable House rent income-30% ded.</t>
  </si>
  <si>
    <t>Income from Lottery, Crossword Puzzles, prizes etc</t>
  </si>
  <si>
    <t>Lottery @ 30%</t>
  </si>
  <si>
    <t>GTI</t>
  </si>
  <si>
    <t>x</t>
  </si>
  <si>
    <t>new x</t>
  </si>
  <si>
    <t>y</t>
  </si>
  <si>
    <t>TI</t>
  </si>
  <si>
    <t>new y</t>
  </si>
  <si>
    <t>partbti</t>
  </si>
  <si>
    <t>exemption limit</t>
  </si>
  <si>
    <t>totalltcg</t>
  </si>
  <si>
    <t>15 % taxable</t>
  </si>
  <si>
    <t>Special</t>
  </si>
  <si>
    <t>30% taxable</t>
  </si>
  <si>
    <t>displayincome</t>
  </si>
  <si>
    <t>spincome</t>
  </si>
  <si>
    <t>exm+agri</t>
  </si>
  <si>
    <t>senior tax</t>
  </si>
  <si>
    <t>super senior tax</t>
  </si>
  <si>
    <t>male tax</t>
  </si>
  <si>
    <t>female tax</t>
  </si>
  <si>
    <t>special tax</t>
  </si>
  <si>
    <t>Normal tax</t>
  </si>
  <si>
    <t>Total tax</t>
  </si>
  <si>
    <t>Total tax +credit</t>
  </si>
  <si>
    <t>final tax</t>
  </si>
  <si>
    <t>During Service</t>
  </si>
  <si>
    <t>At leaving Service</t>
  </si>
  <si>
    <t>Employer NPS deduction u/s 80CCD(2)</t>
  </si>
  <si>
    <t>National Savings Scheme (NSS) deposit</t>
  </si>
  <si>
    <t>Payable upto 15th September</t>
  </si>
  <si>
    <t>Payable upto 15th December</t>
  </si>
  <si>
    <t>Payable upto 15th March</t>
  </si>
  <si>
    <t>Total Deductions u/s 80C, 80CCC, 80CCD</t>
  </si>
  <si>
    <t>PPF (Public Provident Fund) or SSAS</t>
  </si>
  <si>
    <t>NPS/APY Deposit 80CCD</t>
  </si>
  <si>
    <t>Self/Employee's NPS/APY Contribution</t>
  </si>
  <si>
    <t>5% slab</t>
  </si>
  <si>
    <t>5% tax</t>
  </si>
  <si>
    <t>50 lakh tax</t>
  </si>
  <si>
    <t>1 cr tax</t>
  </si>
  <si>
    <t>Surcharge-15</t>
  </si>
  <si>
    <t>Surcharge-10</t>
  </si>
  <si>
    <t>Marginal Rel</t>
  </si>
  <si>
    <t>Surcharge after Marginal Rel</t>
  </si>
  <si>
    <t>1 cr surcharge</t>
  </si>
  <si>
    <t>Education Cess @ 4%</t>
  </si>
  <si>
    <t>Insured below 60 years</t>
  </si>
  <si>
    <t>Insured above 60 years</t>
  </si>
  <si>
    <t>Non taxable Equity LTCG</t>
  </si>
  <si>
    <t>Interest deduction u/s 80TTA/B</t>
  </si>
  <si>
    <t>Payable upto 15th June</t>
  </si>
  <si>
    <t>Details of Salary paid and any other income and tax deducted</t>
  </si>
  <si>
    <t>Gross Salary</t>
  </si>
  <si>
    <t>(a) Salary as per provisions contained in sec.
17(1)</t>
  </si>
  <si>
    <t>(b) Value of perquisites u/s 17(2) (as per Form
No.12BA, wherever applicable)</t>
  </si>
  <si>
    <t>(c) Profits in lieu of salary under section 17(3)(as
per Form No.12BA, wherever applicable)</t>
  </si>
  <si>
    <t>(d) Total</t>
  </si>
  <si>
    <t>Rs.</t>
  </si>
  <si>
    <t>Less :Allowance to the extent exempt u/s 10</t>
  </si>
  <si>
    <t>(a) HRA Exemption</t>
  </si>
  <si>
    <t>(c) Total</t>
  </si>
  <si>
    <t>Balance 1-2</t>
  </si>
  <si>
    <t>Deductions :</t>
  </si>
  <si>
    <t>(a) Entertainment allowance</t>
  </si>
  <si>
    <t>(b) Tax on employment</t>
  </si>
  <si>
    <t>Aggregate of 4(a) and (b)</t>
  </si>
  <si>
    <t>Income chargeable under the head ‘Salaries’ (3-5)</t>
  </si>
  <si>
    <t>Add: Any other income reported by the employee</t>
  </si>
  <si>
    <t>Gross total income (6+7)</t>
  </si>
  <si>
    <t>(a) Income From House Property</t>
  </si>
  <si>
    <t>Deductions under Chapter VI-A</t>
  </si>
  <si>
    <t>(A) sections 80C, 80CCC and 80CCD</t>
  </si>
  <si>
    <t>Rs</t>
  </si>
  <si>
    <t>Gross Amount</t>
  </si>
  <si>
    <t>Deductible Amount</t>
  </si>
  <si>
    <t>(b) section 80CCC</t>
  </si>
  <si>
    <t>(c) section 80CCD</t>
  </si>
  <si>
    <t>(B) Other sections (e.g. 80E, 80G, 80TTA, etc.) under Chapter VI-A.</t>
  </si>
  <si>
    <t>Deductible amount</t>
  </si>
  <si>
    <t>Aggregate of deductible amount under Chapter VI-A</t>
  </si>
  <si>
    <t>Total Income (8-10)</t>
  </si>
  <si>
    <t>Tax on total income</t>
  </si>
  <si>
    <t>Tax Payable (12+13)</t>
  </si>
  <si>
    <t>Less: Relief under section 89 (attach details)</t>
  </si>
  <si>
    <t>Tax payable (14-15)</t>
  </si>
  <si>
    <t>(a) Deductions in respect of specified investments/savings - 80C</t>
  </si>
  <si>
    <t>(i) ELSS</t>
  </si>
  <si>
    <t>(ii) EPF</t>
  </si>
  <si>
    <t>(iii) PPF</t>
  </si>
  <si>
    <t>(v) Stamp duty</t>
  </si>
  <si>
    <t>(c) Child Education Allowance</t>
  </si>
  <si>
    <t>(d) Gratuity</t>
  </si>
  <si>
    <t>(e) Leave Travel Allowance (LTA)</t>
  </si>
  <si>
    <t>(f) Leave Encashment</t>
  </si>
  <si>
    <t>(g) Total</t>
  </si>
  <si>
    <t>(b) Conveyance allowance</t>
  </si>
  <si>
    <t>(b) Saving bank interest</t>
  </si>
  <si>
    <t>(c) Other taxable income</t>
  </si>
  <si>
    <t>(iv) House Loan principal repay</t>
  </si>
  <si>
    <t>(vi) Life insurance Premium</t>
  </si>
  <si>
    <t>(vii) NSC/NSS deposits</t>
  </si>
  <si>
    <t>(viii) SCSS deposits</t>
  </si>
  <si>
    <t>(ix) Tax saving fixed depoists</t>
  </si>
  <si>
    <t>(x) Children tuituion fees</t>
  </si>
  <si>
    <t>(i) section 80D</t>
  </si>
  <si>
    <t>(ii) section 80DD</t>
  </si>
  <si>
    <t>(iii) section 80DDB</t>
  </si>
  <si>
    <t>(iv) section 80E</t>
  </si>
  <si>
    <t>(v) section 80U</t>
  </si>
  <si>
    <t>(vi) Section 80CCG</t>
  </si>
  <si>
    <t xml:space="preserve">(vii) Employer NPS deduction u/s 80CCD(2) </t>
  </si>
  <si>
    <t>(viii) 80TTA/B</t>
  </si>
  <si>
    <t>Education cess @ 4% (on tax computed at S. No. 12)</t>
  </si>
  <si>
    <t>Standard Deduction (50,000)</t>
  </si>
  <si>
    <t>Tax rebate u/s 87A</t>
  </si>
  <si>
    <t>Income tax after Tax rebate</t>
  </si>
  <si>
    <t>Income Tax Calculator F.Y. 2020-21 (AY 2021-22)</t>
  </si>
  <si>
    <t>House Rent/ Notional rent (income from house property)</t>
  </si>
  <si>
    <t>Actual Submission</t>
  </si>
  <si>
    <t>LTA receipts</t>
  </si>
  <si>
    <t>Telephone Reimbursement receipts</t>
  </si>
  <si>
    <t>Prof. Development receipts</t>
  </si>
  <si>
    <t>Car Expenses Reimbursement receipts</t>
  </si>
  <si>
    <t>Internet expense receipts</t>
  </si>
  <si>
    <t>Driver Salary receipts</t>
  </si>
  <si>
    <t>Self occup. Home Loan Int. Component</t>
  </si>
  <si>
    <t>LTCG not from listed stocks/ equity MFs w/o indexation</t>
  </si>
  <si>
    <t>LTCG not from listed stocks/ equity MFs with index. benefits</t>
  </si>
  <si>
    <t>Senior Citizen Savings Scheme (SCSS)</t>
  </si>
  <si>
    <t>Post Office/Tax saving Bonds</t>
  </si>
  <si>
    <t>Tax saving Fixed Deposit for 5 yrs</t>
  </si>
  <si>
    <t>Stamp Duty/Reg. charges for house</t>
  </si>
  <si>
    <t>80D (Medical insurance for Parents)</t>
  </si>
  <si>
    <t>80D (Medical ins. for Self/Family all below 60 yrs)</t>
  </si>
  <si>
    <t>80DD (Maint. of depandant disabled)</t>
  </si>
  <si>
    <t>80DDB (Medical treatment - specific diseases)</t>
  </si>
  <si>
    <t>80E (Int. on Education Loan)</t>
  </si>
  <si>
    <t>80U (Handicapped person)</t>
  </si>
  <si>
    <t>Total Income this year</t>
  </si>
  <si>
    <t>Component Name</t>
  </si>
  <si>
    <t>W/O Deduction Case</t>
  </si>
  <si>
    <t>25% slab</t>
  </si>
  <si>
    <t>15% slab</t>
  </si>
  <si>
    <t>10% slab</t>
  </si>
  <si>
    <t>10% tax</t>
  </si>
  <si>
    <t>15% tax</t>
  </si>
  <si>
    <t>25% tax</t>
  </si>
  <si>
    <t>80CCG - RGESS - Discountinued</t>
  </si>
  <si>
    <t>Home loan int. exemp. u/s 80EE - Discountinued</t>
  </si>
  <si>
    <t>For Section 80EEA</t>
  </si>
  <si>
    <t>Home Loan taken between 2019-21</t>
  </si>
  <si>
    <t>Home Loan not taken between 2019-21</t>
  </si>
  <si>
    <t>https://www.thebimabasket.com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</si>
</sst>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9"/>
      <name val="Arial Narrow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2"/>
      <name val="Garamond"/>
      <family val="1"/>
    </font>
    <font>
      <b/>
      <u/>
      <sz val="16"/>
      <color indexed="12"/>
      <name val="Calibri"/>
      <family val="2"/>
    </font>
    <font>
      <sz val="10"/>
      <color rgb="FFFF000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0"/>
      <color indexed="12"/>
      <name val="Arial"/>
      <family val="2"/>
    </font>
    <font>
      <b/>
      <u/>
      <sz val="16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2">
    <xf numFmtId="0" fontId="0" fillId="0" borderId="0" xfId="0"/>
    <xf numFmtId="4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6" fillId="0" borderId="0" xfId="0" applyFont="1" applyFill="1" applyProtection="1">
      <protection hidden="1"/>
    </xf>
    <xf numFmtId="165" fontId="6" fillId="0" borderId="0" xfId="0" applyNumberFormat="1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165" fontId="7" fillId="0" borderId="0" xfId="1" applyNumberFormat="1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5" fontId="8" fillId="0" borderId="0" xfId="1" applyNumberFormat="1" applyFont="1" applyProtection="1">
      <protection hidden="1"/>
    </xf>
    <xf numFmtId="4" fontId="4" fillId="0" borderId="0" xfId="0" applyNumberFormat="1" applyFont="1" applyFill="1" applyProtection="1">
      <protection hidden="1"/>
    </xf>
    <xf numFmtId="0" fontId="4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7" fontId="9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6" fontId="9" fillId="2" borderId="1" xfId="3" applyNumberFormat="1" applyFont="1" applyFill="1" applyBorder="1" applyProtection="1">
      <protection hidden="1"/>
    </xf>
    <xf numFmtId="166" fontId="9" fillId="0" borderId="0" xfId="3" applyNumberFormat="1" applyFont="1" applyFill="1" applyBorder="1" applyProtection="1">
      <protection hidden="1"/>
    </xf>
    <xf numFmtId="166" fontId="9" fillId="3" borderId="1" xfId="3" applyNumberFormat="1" applyFont="1" applyFill="1" applyBorder="1" applyProtection="1">
      <protection hidden="1"/>
    </xf>
    <xf numFmtId="166" fontId="9" fillId="4" borderId="1" xfId="3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hidden="1"/>
    </xf>
    <xf numFmtId="4" fontId="14" fillId="0" borderId="0" xfId="0" applyNumberFormat="1" applyFont="1" applyFill="1" applyProtection="1">
      <protection hidden="1"/>
    </xf>
    <xf numFmtId="0" fontId="0" fillId="0" borderId="0" xfId="0" applyFill="1" applyAlignment="1" applyProtection="1">
      <protection hidden="1"/>
    </xf>
    <xf numFmtId="4" fontId="15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4" fontId="23" fillId="0" borderId="0" xfId="0" applyNumberFormat="1" applyFont="1" applyFill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17" fontId="9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4" fontId="23" fillId="5" borderId="0" xfId="0" applyNumberFormat="1" applyFont="1" applyFill="1" applyProtection="1">
      <protection hidden="1"/>
    </xf>
    <xf numFmtId="17" fontId="9" fillId="0" borderId="0" xfId="0" applyNumberFormat="1" applyFont="1" applyAlignment="1" applyProtection="1">
      <alignment horizontal="right"/>
      <protection hidden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17" fillId="0" borderId="0" xfId="0" applyFont="1" applyProtection="1">
      <protection hidden="1"/>
    </xf>
    <xf numFmtId="0" fontId="17" fillId="0" borderId="0" xfId="0" applyFont="1" applyProtection="1">
      <protection locked="0"/>
    </xf>
    <xf numFmtId="0" fontId="19" fillId="0" borderId="9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0" applyFont="1" applyFill="1" applyAlignment="1" applyProtection="1">
      <alignment horizontal="center" vertical="center"/>
      <protection hidden="1"/>
    </xf>
    <xf numFmtId="165" fontId="25" fillId="0" borderId="9" xfId="1" applyNumberFormat="1" applyFont="1" applyFill="1" applyBorder="1" applyProtection="1">
      <protection locked="0"/>
    </xf>
    <xf numFmtId="165" fontId="25" fillId="0" borderId="11" xfId="1" applyNumberFormat="1" applyFont="1" applyFill="1" applyBorder="1" applyProtection="1">
      <protection locked="0"/>
    </xf>
    <xf numFmtId="165" fontId="25" fillId="0" borderId="12" xfId="1" applyNumberFormat="1" applyFont="1" applyFill="1" applyBorder="1" applyProtection="1">
      <protection locked="0"/>
    </xf>
    <xf numFmtId="165" fontId="25" fillId="0" borderId="13" xfId="1" applyNumberFormat="1" applyFont="1" applyFill="1" applyBorder="1" applyProtection="1">
      <protection hidden="1"/>
    </xf>
    <xf numFmtId="165" fontId="25" fillId="0" borderId="13" xfId="1" applyNumberFormat="1" applyFont="1" applyFill="1" applyBorder="1" applyProtection="1">
      <protection locked="0"/>
    </xf>
    <xf numFmtId="165" fontId="25" fillId="0" borderId="14" xfId="1" applyNumberFormat="1" applyFont="1" applyFill="1" applyBorder="1" applyProtection="1">
      <protection locked="0"/>
    </xf>
    <xf numFmtId="165" fontId="25" fillId="0" borderId="15" xfId="1" applyNumberFormat="1" applyFont="1" applyFill="1" applyBorder="1" applyProtection="1">
      <protection hidden="1"/>
    </xf>
    <xf numFmtId="165" fontId="25" fillId="0" borderId="15" xfId="1" applyNumberFormat="1" applyFont="1" applyFill="1" applyBorder="1" applyProtection="1">
      <protection locked="0"/>
    </xf>
    <xf numFmtId="4" fontId="25" fillId="0" borderId="0" xfId="0" applyNumberFormat="1" applyFont="1" applyFill="1" applyProtection="1">
      <protection hidden="1"/>
    </xf>
    <xf numFmtId="0" fontId="25" fillId="0" borderId="0" xfId="0" applyFont="1" applyProtection="1">
      <protection hidden="1"/>
    </xf>
    <xf numFmtId="165" fontId="25" fillId="0" borderId="0" xfId="1" applyNumberFormat="1" applyFont="1" applyProtection="1">
      <protection hidden="1"/>
    </xf>
    <xf numFmtId="9" fontId="25" fillId="6" borderId="13" xfId="5" applyFont="1" applyFill="1" applyBorder="1" applyProtection="1">
      <protection hidden="1"/>
    </xf>
    <xf numFmtId="9" fontId="25" fillId="6" borderId="15" xfId="5" applyFont="1" applyFill="1" applyBorder="1" applyProtection="1">
      <protection hidden="1"/>
    </xf>
    <xf numFmtId="0" fontId="25" fillId="6" borderId="14" xfId="0" applyFont="1" applyFill="1" applyBorder="1" applyProtection="1">
      <protection hidden="1"/>
    </xf>
    <xf numFmtId="0" fontId="25" fillId="6" borderId="16" xfId="0" applyFont="1" applyFill="1" applyBorder="1" applyProtection="1">
      <protection hidden="1"/>
    </xf>
    <xf numFmtId="0" fontId="25" fillId="0" borderId="9" xfId="0" applyNumberFormat="1" applyFont="1" applyFill="1" applyBorder="1" applyAlignment="1" applyProtection="1">
      <alignment horizontal="center" vertical="center"/>
      <protection locked="0" hidden="1"/>
    </xf>
    <xf numFmtId="0" fontId="25" fillId="6" borderId="15" xfId="0" applyFont="1" applyFill="1" applyBorder="1" applyAlignment="1" applyProtection="1">
      <alignment vertical="center"/>
      <protection hidden="1"/>
    </xf>
    <xf numFmtId="165" fontId="25" fillId="0" borderId="3" xfId="1" applyNumberFormat="1" applyFont="1" applyFill="1" applyBorder="1" applyAlignment="1" applyProtection="1">
      <alignment horizontal="center" wrapText="1"/>
      <protection locked="0"/>
    </xf>
    <xf numFmtId="0" fontId="25" fillId="6" borderId="13" xfId="0" applyFont="1" applyFill="1" applyBorder="1" applyProtection="1">
      <protection hidden="1"/>
    </xf>
    <xf numFmtId="165" fontId="25" fillId="0" borderId="13" xfId="1" applyNumberFormat="1" applyFont="1" applyFill="1" applyBorder="1" applyAlignment="1" applyProtection="1">
      <alignment horizontal="center" wrapText="1"/>
      <protection locked="0"/>
    </xf>
    <xf numFmtId="165" fontId="25" fillId="6" borderId="13" xfId="1" applyNumberFormat="1" applyFont="1" applyFill="1" applyBorder="1" applyProtection="1">
      <protection hidden="1"/>
    </xf>
    <xf numFmtId="165" fontId="25" fillId="6" borderId="15" xfId="1" applyNumberFormat="1" applyFont="1" applyFill="1" applyBorder="1" applyProtection="1">
      <protection hidden="1"/>
    </xf>
    <xf numFmtId="0" fontId="25" fillId="6" borderId="17" xfId="0" applyFont="1" applyFill="1" applyBorder="1" applyAlignment="1" applyProtection="1">
      <alignment vertical="center"/>
      <protection hidden="1"/>
    </xf>
    <xf numFmtId="0" fontId="25" fillId="6" borderId="18" xfId="0" applyFont="1" applyFill="1" applyBorder="1" applyAlignment="1" applyProtection="1">
      <alignment vertical="center"/>
      <protection hidden="1"/>
    </xf>
    <xf numFmtId="0" fontId="25" fillId="6" borderId="11" xfId="0" applyFont="1" applyFill="1" applyBorder="1" applyProtection="1">
      <protection hidden="1"/>
    </xf>
    <xf numFmtId="0" fontId="25" fillId="6" borderId="19" xfId="0" applyFont="1" applyFill="1" applyBorder="1" applyProtection="1">
      <protection hidden="1"/>
    </xf>
    <xf numFmtId="0" fontId="25" fillId="6" borderId="20" xfId="0" applyFont="1" applyFill="1" applyBorder="1" applyProtection="1">
      <protection hidden="1"/>
    </xf>
    <xf numFmtId="0" fontId="25" fillId="6" borderId="21" xfId="0" applyFont="1" applyFill="1" applyBorder="1" applyProtection="1">
      <protection hidden="1"/>
    </xf>
    <xf numFmtId="0" fontId="25" fillId="0" borderId="0" xfId="0" applyFont="1" applyFill="1" applyProtection="1">
      <protection hidden="1"/>
    </xf>
    <xf numFmtId="0" fontId="25" fillId="6" borderId="9" xfId="0" applyFont="1" applyFill="1" applyBorder="1" applyProtection="1">
      <protection hidden="1"/>
    </xf>
    <xf numFmtId="0" fontId="25" fillId="6" borderId="15" xfId="0" applyFont="1" applyFill="1" applyBorder="1" applyProtection="1">
      <protection hidden="1"/>
    </xf>
    <xf numFmtId="165" fontId="19" fillId="0" borderId="12" xfId="1" applyNumberFormat="1" applyFont="1" applyFill="1" applyBorder="1" applyProtection="1">
      <protection locked="0"/>
    </xf>
    <xf numFmtId="165" fontId="19" fillId="0" borderId="13" xfId="1" applyNumberFormat="1" applyFont="1" applyFill="1" applyBorder="1" applyProtection="1">
      <protection locked="0"/>
    </xf>
    <xf numFmtId="165" fontId="19" fillId="0" borderId="23" xfId="1" applyNumberFormat="1" applyFont="1" applyFill="1" applyBorder="1" applyProtection="1">
      <protection locked="0"/>
    </xf>
    <xf numFmtId="165" fontId="21" fillId="0" borderId="9" xfId="1" applyNumberFormat="1" applyFont="1" applyFill="1" applyBorder="1" applyProtection="1">
      <protection locked="0"/>
    </xf>
    <xf numFmtId="0" fontId="25" fillId="6" borderId="23" xfId="0" applyFont="1" applyFill="1" applyBorder="1" applyProtection="1">
      <protection hidden="1"/>
    </xf>
    <xf numFmtId="165" fontId="25" fillId="0" borderId="25" xfId="1" applyNumberFormat="1" applyFont="1" applyFill="1" applyBorder="1" applyProtection="1">
      <protection locked="0"/>
    </xf>
    <xf numFmtId="165" fontId="25" fillId="6" borderId="14" xfId="1" applyNumberFormat="1" applyFont="1" applyFill="1" applyBorder="1" applyProtection="1">
      <protection hidden="1"/>
    </xf>
    <xf numFmtId="0" fontId="19" fillId="7" borderId="9" xfId="0" applyFont="1" applyFill="1" applyBorder="1" applyAlignment="1" applyProtection="1">
      <alignment horizontal="center" vertical="center"/>
      <protection hidden="1"/>
    </xf>
    <xf numFmtId="0" fontId="19" fillId="8" borderId="9" xfId="0" applyFont="1" applyFill="1" applyBorder="1" applyAlignment="1" applyProtection="1">
      <alignment horizontal="center" vertical="center" wrapText="1"/>
      <protection hidden="1"/>
    </xf>
    <xf numFmtId="0" fontId="19" fillId="9" borderId="26" xfId="0" applyFont="1" applyFill="1" applyBorder="1" applyAlignment="1" applyProtection="1">
      <alignment horizontal="center" vertical="center"/>
      <protection hidden="1"/>
    </xf>
    <xf numFmtId="0" fontId="19" fillId="10" borderId="22" xfId="0" applyFont="1" applyFill="1" applyBorder="1" applyAlignment="1" applyProtection="1">
      <alignment horizontal="center" vertical="center"/>
      <protection hidden="1"/>
    </xf>
    <xf numFmtId="165" fontId="25" fillId="0" borderId="23" xfId="1" applyNumberFormat="1" applyFont="1" applyFill="1" applyBorder="1" applyAlignment="1" applyProtection="1">
      <alignment horizontal="center" wrapText="1"/>
      <protection locked="0"/>
    </xf>
    <xf numFmtId="165" fontId="25" fillId="0" borderId="14" xfId="1" applyNumberFormat="1" applyFont="1" applyFill="1" applyBorder="1" applyAlignment="1" applyProtection="1">
      <alignment horizontal="center" wrapText="1"/>
      <protection locked="0"/>
    </xf>
    <xf numFmtId="4" fontId="18" fillId="0" borderId="0" xfId="0" applyNumberFormat="1" applyFont="1" applyFill="1" applyProtection="1">
      <protection hidden="1"/>
    </xf>
    <xf numFmtId="4" fontId="18" fillId="0" borderId="0" xfId="0" applyNumberFormat="1" applyFont="1" applyProtection="1">
      <protection hidden="1"/>
    </xf>
    <xf numFmtId="4" fontId="3" fillId="0" borderId="0" xfId="0" applyNumberFormat="1" applyFont="1" applyFill="1" applyAlignment="1" applyProtection="1">
      <alignment horizontal="right"/>
      <protection hidden="1"/>
    </xf>
    <xf numFmtId="4" fontId="18" fillId="0" borderId="0" xfId="0" applyNumberFormat="1" applyFont="1" applyFill="1" applyAlignment="1" applyProtection="1">
      <alignment horizontal="right"/>
      <protection hidden="1"/>
    </xf>
    <xf numFmtId="4" fontId="18" fillId="0" borderId="0" xfId="0" applyNumberFormat="1" applyFont="1" applyAlignment="1" applyProtection="1">
      <alignment horizontal="right"/>
      <protection hidden="1"/>
    </xf>
    <xf numFmtId="0" fontId="0" fillId="0" borderId="0" xfId="0" applyFill="1" applyAlignment="1" applyProtection="1">
      <alignment horizontal="center"/>
      <protection hidden="1"/>
    </xf>
    <xf numFmtId="165" fontId="19" fillId="13" borderId="17" xfId="1" applyNumberFormat="1" applyFont="1" applyFill="1" applyBorder="1" applyProtection="1">
      <protection hidden="1"/>
    </xf>
    <xf numFmtId="165" fontId="21" fillId="13" borderId="29" xfId="1" applyNumberFormat="1" applyFont="1" applyFill="1" applyBorder="1" applyProtection="1">
      <protection hidden="1"/>
    </xf>
    <xf numFmtId="165" fontId="19" fillId="13" borderId="11" xfId="1" applyNumberFormat="1" applyFont="1" applyFill="1" applyBorder="1" applyProtection="1">
      <protection hidden="1"/>
    </xf>
    <xf numFmtId="165" fontId="21" fillId="13" borderId="16" xfId="1" applyNumberFormat="1" applyFont="1" applyFill="1" applyBorder="1" applyProtection="1">
      <protection hidden="1"/>
    </xf>
    <xf numFmtId="165" fontId="19" fillId="13" borderId="25" xfId="1" applyNumberFormat="1" applyFont="1" applyFill="1" applyBorder="1" applyProtection="1">
      <protection hidden="1"/>
    </xf>
    <xf numFmtId="165" fontId="20" fillId="13" borderId="27" xfId="1" applyNumberFormat="1" applyFont="1" applyFill="1" applyBorder="1" applyProtection="1">
      <protection hidden="1"/>
    </xf>
    <xf numFmtId="165" fontId="20" fillId="13" borderId="24" xfId="1" applyNumberFormat="1" applyFont="1" applyFill="1" applyBorder="1" applyProtection="1">
      <protection hidden="1"/>
    </xf>
    <xf numFmtId="0" fontId="6" fillId="13" borderId="2" xfId="0" applyFont="1" applyFill="1" applyBorder="1" applyProtection="1">
      <protection hidden="1"/>
    </xf>
    <xf numFmtId="4" fontId="6" fillId="13" borderId="0" xfId="0" applyNumberFormat="1" applyFont="1" applyFill="1" applyBorder="1" applyProtection="1">
      <protection hidden="1"/>
    </xf>
    <xf numFmtId="165" fontId="6" fillId="13" borderId="0" xfId="1" applyNumberFormat="1" applyFont="1" applyFill="1" applyBorder="1" applyProtection="1">
      <protection hidden="1"/>
    </xf>
    <xf numFmtId="165" fontId="5" fillId="13" borderId="28" xfId="1" applyNumberFormat="1" applyFont="1" applyFill="1" applyBorder="1" applyProtection="1">
      <protection hidden="1"/>
    </xf>
    <xf numFmtId="165" fontId="25" fillId="13" borderId="0" xfId="1" applyNumberFormat="1" applyFont="1" applyFill="1" applyBorder="1" applyProtection="1">
      <protection hidden="1"/>
    </xf>
    <xf numFmtId="165" fontId="14" fillId="13" borderId="0" xfId="1" applyNumberFormat="1" applyFont="1" applyFill="1" applyBorder="1" applyProtection="1">
      <protection hidden="1"/>
    </xf>
    <xf numFmtId="165" fontId="13" fillId="13" borderId="0" xfId="1" applyNumberFormat="1" applyFont="1" applyFill="1" applyBorder="1" applyProtection="1">
      <protection hidden="1"/>
    </xf>
    <xf numFmtId="165" fontId="26" fillId="13" borderId="10" xfId="1" applyNumberFormat="1" applyFont="1" applyFill="1" applyBorder="1" applyProtection="1">
      <protection hidden="1"/>
    </xf>
    <xf numFmtId="165" fontId="25" fillId="13" borderId="9" xfId="1" applyNumberFormat="1" applyFont="1" applyFill="1" applyBorder="1" applyAlignment="1" applyProtection="1">
      <alignment horizontal="center" vertical="center"/>
      <protection hidden="1"/>
    </xf>
    <xf numFmtId="165" fontId="21" fillId="13" borderId="9" xfId="1" applyNumberFormat="1" applyFont="1" applyFill="1" applyBorder="1" applyAlignment="1" applyProtection="1">
      <alignment horizontal="center" vertical="center"/>
      <protection hidden="1"/>
    </xf>
    <xf numFmtId="0" fontId="25" fillId="13" borderId="10" xfId="0" applyFont="1" applyFill="1" applyBorder="1" applyProtection="1">
      <protection hidden="1"/>
    </xf>
    <xf numFmtId="4" fontId="25" fillId="13" borderId="0" xfId="0" applyNumberFormat="1" applyFont="1" applyFill="1" applyBorder="1" applyProtection="1">
      <protection hidden="1"/>
    </xf>
    <xf numFmtId="165" fontId="13" fillId="13" borderId="5" xfId="1" applyNumberFormat="1" applyFont="1" applyFill="1" applyBorder="1" applyProtection="1">
      <protection hidden="1"/>
    </xf>
    <xf numFmtId="0" fontId="25" fillId="13" borderId="9" xfId="0" applyFont="1" applyFill="1" applyBorder="1" applyProtection="1">
      <protection hidden="1"/>
    </xf>
    <xf numFmtId="4" fontId="25" fillId="13" borderId="10" xfId="0" applyNumberFormat="1" applyFont="1" applyFill="1" applyBorder="1" applyProtection="1">
      <protection hidden="1"/>
    </xf>
    <xf numFmtId="165" fontId="21" fillId="13" borderId="0" xfId="1" applyNumberFormat="1" applyFont="1" applyFill="1" applyBorder="1" applyProtection="1">
      <protection hidden="1"/>
    </xf>
    <xf numFmtId="165" fontId="12" fillId="13" borderId="6" xfId="1" applyNumberFormat="1" applyFont="1" applyFill="1" applyBorder="1" applyProtection="1">
      <protection hidden="1"/>
    </xf>
    <xf numFmtId="165" fontId="26" fillId="13" borderId="17" xfId="1" applyNumberFormat="1" applyFont="1" applyFill="1" applyBorder="1" applyProtection="1">
      <protection hidden="1"/>
    </xf>
    <xf numFmtId="165" fontId="26" fillId="13" borderId="11" xfId="1" applyNumberFormat="1" applyFont="1" applyFill="1" applyBorder="1" applyProtection="1">
      <protection hidden="1"/>
    </xf>
    <xf numFmtId="165" fontId="26" fillId="13" borderId="13" xfId="1" applyNumberFormat="1" applyFont="1" applyFill="1" applyBorder="1" applyProtection="1">
      <protection hidden="1"/>
    </xf>
    <xf numFmtId="165" fontId="26" fillId="13" borderId="15" xfId="1" applyNumberFormat="1" applyFont="1" applyFill="1" applyBorder="1" applyProtection="1">
      <protection hidden="1"/>
    </xf>
    <xf numFmtId="165" fontId="26" fillId="13" borderId="12" xfId="1" applyNumberFormat="1" applyFont="1" applyFill="1" applyBorder="1" applyProtection="1">
      <protection hidden="1"/>
    </xf>
    <xf numFmtId="165" fontId="26" fillId="13" borderId="3" xfId="1" applyNumberFormat="1" applyFont="1" applyFill="1" applyBorder="1" applyProtection="1">
      <protection hidden="1"/>
    </xf>
    <xf numFmtId="165" fontId="25" fillId="13" borderId="7" xfId="1" applyNumberFormat="1" applyFont="1" applyFill="1" applyBorder="1" applyProtection="1">
      <protection hidden="1"/>
    </xf>
    <xf numFmtId="165" fontId="25" fillId="13" borderId="3" xfId="1" applyNumberFormat="1" applyFont="1" applyFill="1" applyBorder="1" applyProtection="1">
      <protection hidden="1"/>
    </xf>
    <xf numFmtId="165" fontId="13" fillId="13" borderId="3" xfId="1" applyNumberFormat="1" applyFont="1" applyFill="1" applyBorder="1" applyProtection="1">
      <protection hidden="1"/>
    </xf>
    <xf numFmtId="165" fontId="13" fillId="13" borderId="4" xfId="1" applyNumberFormat="1" applyFont="1" applyFill="1" applyBorder="1" applyProtection="1">
      <protection hidden="1"/>
    </xf>
    <xf numFmtId="165" fontId="25" fillId="13" borderId="6" xfId="1" applyNumberFormat="1" applyFont="1" applyFill="1" applyBorder="1" applyProtection="1">
      <protection hidden="1"/>
    </xf>
    <xf numFmtId="165" fontId="21" fillId="13" borderId="6" xfId="1" applyNumberFormat="1" applyFont="1" applyFill="1" applyBorder="1" applyProtection="1">
      <protection hidden="1"/>
    </xf>
    <xf numFmtId="165" fontId="25" fillId="13" borderId="9" xfId="1" applyNumberFormat="1" applyFont="1" applyFill="1" applyBorder="1" applyProtection="1">
      <protection hidden="1"/>
    </xf>
    <xf numFmtId="165" fontId="25" fillId="13" borderId="5" xfId="1" applyNumberFormat="1" applyFont="1" applyFill="1" applyBorder="1" applyProtection="1">
      <protection hidden="1"/>
    </xf>
    <xf numFmtId="165" fontId="14" fillId="13" borderId="5" xfId="1" applyNumberFormat="1" applyFont="1" applyFill="1" applyBorder="1" applyProtection="1">
      <protection hidden="1"/>
    </xf>
    <xf numFmtId="165" fontId="26" fillId="13" borderId="8" xfId="1" applyNumberFormat="1" applyFont="1" applyFill="1" applyBorder="1" applyProtection="1">
      <protection hidden="1"/>
    </xf>
    <xf numFmtId="4" fontId="25" fillId="13" borderId="0" xfId="0" applyNumberFormat="1" applyFont="1" applyFill="1" applyProtection="1">
      <protection hidden="1"/>
    </xf>
    <xf numFmtId="4" fontId="14" fillId="13" borderId="0" xfId="0" applyNumberFormat="1" applyFont="1" applyFill="1" applyProtection="1">
      <protection hidden="1"/>
    </xf>
    <xf numFmtId="4" fontId="14" fillId="13" borderId="3" xfId="0" applyNumberFormat="1" applyFont="1" applyFill="1" applyBorder="1" applyProtection="1">
      <protection hidden="1"/>
    </xf>
    <xf numFmtId="165" fontId="25" fillId="13" borderId="12" xfId="1" applyNumberFormat="1" applyFont="1" applyFill="1" applyBorder="1" applyProtection="1">
      <protection hidden="1"/>
    </xf>
    <xf numFmtId="4" fontId="14" fillId="13" borderId="7" xfId="0" applyNumberFormat="1" applyFont="1" applyFill="1" applyBorder="1" applyProtection="1">
      <protection hidden="1"/>
    </xf>
    <xf numFmtId="0" fontId="25" fillId="13" borderId="2" xfId="0" applyFont="1" applyFill="1" applyBorder="1" applyProtection="1">
      <protection hidden="1"/>
    </xf>
    <xf numFmtId="4" fontId="14" fillId="13" borderId="0" xfId="0" applyNumberFormat="1" applyFont="1" applyFill="1" applyBorder="1" applyProtection="1">
      <protection hidden="1"/>
    </xf>
    <xf numFmtId="0" fontId="25" fillId="13" borderId="22" xfId="0" applyFont="1" applyFill="1" applyBorder="1" applyProtection="1">
      <protection hidden="1"/>
    </xf>
    <xf numFmtId="4" fontId="25" fillId="13" borderId="6" xfId="0" applyNumberFormat="1" applyFont="1" applyFill="1" applyBorder="1" applyProtection="1">
      <protection hidden="1"/>
    </xf>
    <xf numFmtId="4" fontId="14" fillId="13" borderId="6" xfId="0" applyNumberFormat="1" applyFont="1" applyFill="1" applyBorder="1" applyProtection="1">
      <protection hidden="1"/>
    </xf>
    <xf numFmtId="4" fontId="14" fillId="13" borderId="8" xfId="0" applyNumberFormat="1" applyFont="1" applyFill="1" applyBorder="1" applyProtection="1">
      <protection hidden="1"/>
    </xf>
    <xf numFmtId="165" fontId="24" fillId="13" borderId="9" xfId="1" applyNumberFormat="1" applyFont="1" applyFill="1" applyBorder="1" applyProtection="1">
      <protection hidden="1"/>
    </xf>
    <xf numFmtId="0" fontId="25" fillId="13" borderId="9" xfId="0" applyFont="1" applyFill="1" applyBorder="1" applyAlignment="1" applyProtection="1">
      <alignment horizontal="center"/>
      <protection hidden="1"/>
    </xf>
    <xf numFmtId="165" fontId="25" fillId="13" borderId="9" xfId="1" applyNumberFormat="1" applyFont="1" applyFill="1" applyBorder="1" applyAlignment="1" applyProtection="1">
      <alignment horizontal="center"/>
      <protection hidden="1"/>
    </xf>
    <xf numFmtId="0" fontId="25" fillId="13" borderId="10" xfId="0" applyFont="1" applyFill="1" applyBorder="1" applyAlignment="1" applyProtection="1">
      <alignment horizontal="center"/>
      <protection hidden="1"/>
    </xf>
    <xf numFmtId="0" fontId="25" fillId="13" borderId="30" xfId="0" applyFont="1" applyFill="1" applyBorder="1" applyAlignment="1" applyProtection="1">
      <alignment horizontal="center"/>
      <protection hidden="1"/>
    </xf>
    <xf numFmtId="0" fontId="27" fillId="6" borderId="17" xfId="0" applyFont="1" applyFill="1" applyBorder="1" applyAlignment="1" applyProtection="1">
      <alignment horizontal="right"/>
      <protection hidden="1"/>
    </xf>
    <xf numFmtId="0" fontId="27" fillId="6" borderId="18" xfId="0" applyFont="1" applyFill="1" applyBorder="1" applyAlignment="1" applyProtection="1">
      <alignment horizontal="right"/>
      <protection hidden="1"/>
    </xf>
    <xf numFmtId="0" fontId="27" fillId="6" borderId="20" xfId="0" applyFont="1" applyFill="1" applyBorder="1" applyAlignment="1" applyProtection="1">
      <alignment horizontal="right"/>
      <protection hidden="1"/>
    </xf>
    <xf numFmtId="0" fontId="27" fillId="6" borderId="21" xfId="0" applyFont="1" applyFill="1" applyBorder="1" applyAlignment="1" applyProtection="1">
      <alignment horizontal="right"/>
      <protection hidden="1"/>
    </xf>
    <xf numFmtId="0" fontId="27" fillId="13" borderId="10" xfId="0" applyFont="1" applyFill="1" applyBorder="1" applyAlignment="1" applyProtection="1">
      <alignment horizontal="center"/>
      <protection hidden="1"/>
    </xf>
    <xf numFmtId="0" fontId="27" fillId="13" borderId="30" xfId="0" applyFont="1" applyFill="1" applyBorder="1" applyAlignment="1" applyProtection="1">
      <alignment horizontal="center"/>
      <protection hidden="1"/>
    </xf>
    <xf numFmtId="0" fontId="27" fillId="13" borderId="31" xfId="0" applyFont="1" applyFill="1" applyBorder="1" applyAlignment="1" applyProtection="1">
      <alignment horizontal="center"/>
      <protection hidden="1"/>
    </xf>
    <xf numFmtId="0" fontId="28" fillId="11" borderId="10" xfId="0" applyFont="1" applyFill="1" applyBorder="1" applyAlignment="1" applyProtection="1">
      <alignment horizontal="center" vertical="center"/>
      <protection hidden="1"/>
    </xf>
    <xf numFmtId="0" fontId="28" fillId="11" borderId="30" xfId="0" applyFont="1" applyFill="1" applyBorder="1" applyAlignment="1" applyProtection="1">
      <alignment horizontal="center" vertical="center"/>
      <protection hidden="1"/>
    </xf>
    <xf numFmtId="0" fontId="28" fillId="11" borderId="31" xfId="0" applyFont="1" applyFill="1" applyBorder="1" applyAlignment="1" applyProtection="1">
      <alignment horizontal="center" vertical="center"/>
      <protection hidden="1"/>
    </xf>
    <xf numFmtId="3" fontId="22" fillId="12" borderId="32" xfId="4" applyNumberFormat="1" applyFont="1" applyFill="1" applyBorder="1" applyAlignment="1" applyProtection="1">
      <alignment horizontal="center" vertical="center"/>
      <protection hidden="1"/>
    </xf>
    <xf numFmtId="3" fontId="22" fillId="12" borderId="5" xfId="4" applyNumberFormat="1" applyFont="1" applyFill="1" applyBorder="1" applyAlignment="1" applyProtection="1">
      <alignment horizontal="center" vertical="center"/>
      <protection hidden="1"/>
    </xf>
    <xf numFmtId="3" fontId="22" fillId="12" borderId="3" xfId="4" applyNumberFormat="1" applyFont="1" applyFill="1" applyBorder="1" applyAlignment="1" applyProtection="1">
      <alignment horizontal="center" vertical="center"/>
      <protection hidden="1"/>
    </xf>
    <xf numFmtId="3" fontId="22" fillId="12" borderId="2" xfId="4" applyNumberFormat="1" applyFont="1" applyFill="1" applyBorder="1" applyAlignment="1" applyProtection="1">
      <alignment horizontal="center" vertical="center"/>
      <protection hidden="1"/>
    </xf>
    <xf numFmtId="3" fontId="22" fillId="12" borderId="0" xfId="4" applyNumberFormat="1" applyFont="1" applyFill="1" applyBorder="1" applyAlignment="1" applyProtection="1">
      <alignment horizontal="center" vertical="center"/>
      <protection hidden="1"/>
    </xf>
    <xf numFmtId="3" fontId="22" fillId="12" borderId="7" xfId="4" applyNumberFormat="1" applyFont="1" applyFill="1" applyBorder="1" applyAlignment="1" applyProtection="1">
      <alignment horizontal="center" vertical="center"/>
      <protection hidden="1"/>
    </xf>
    <xf numFmtId="3" fontId="22" fillId="12" borderId="22" xfId="4" applyNumberFormat="1" applyFont="1" applyFill="1" applyBorder="1" applyAlignment="1" applyProtection="1">
      <alignment horizontal="center" vertical="center"/>
      <protection hidden="1"/>
    </xf>
    <xf numFmtId="3" fontId="22" fillId="12" borderId="6" xfId="4" applyNumberFormat="1" applyFont="1" applyFill="1" applyBorder="1" applyAlignment="1" applyProtection="1">
      <alignment horizontal="center" vertical="center"/>
      <protection hidden="1"/>
    </xf>
    <xf numFmtId="3" fontId="22" fillId="12" borderId="8" xfId="4" applyNumberFormat="1" applyFont="1" applyFill="1" applyBorder="1" applyAlignment="1" applyProtection="1">
      <alignment horizontal="center" vertical="center"/>
      <protection hidden="1"/>
    </xf>
    <xf numFmtId="4" fontId="19" fillId="13" borderId="16" xfId="0" applyNumberFormat="1" applyFont="1" applyFill="1" applyBorder="1" applyAlignment="1" applyProtection="1">
      <alignment horizontal="center" vertical="center" wrapText="1"/>
      <protection hidden="1"/>
    </xf>
    <xf numFmtId="4" fontId="19" fillId="13" borderId="26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right"/>
      <protection hidden="1"/>
    </xf>
    <xf numFmtId="0" fontId="25" fillId="6" borderId="31" xfId="0" applyFont="1" applyFill="1" applyBorder="1" applyAlignment="1" applyProtection="1">
      <alignment horizontal="right"/>
      <protection hidden="1"/>
    </xf>
    <xf numFmtId="0" fontId="25" fillId="6" borderId="17" xfId="0" applyFont="1" applyFill="1" applyBorder="1" applyAlignment="1" applyProtection="1">
      <alignment horizontal="left"/>
      <protection hidden="1"/>
    </xf>
    <xf numFmtId="0" fontId="25" fillId="6" borderId="33" xfId="0" applyFont="1" applyFill="1" applyBorder="1" applyAlignment="1" applyProtection="1">
      <alignment horizontal="left"/>
      <protection hidden="1"/>
    </xf>
    <xf numFmtId="165" fontId="25" fillId="6" borderId="10" xfId="1" applyNumberFormat="1" applyFont="1" applyFill="1" applyBorder="1" applyAlignment="1" applyProtection="1">
      <alignment horizontal="right"/>
      <protection hidden="1"/>
    </xf>
    <xf numFmtId="165" fontId="25" fillId="6" borderId="31" xfId="1" applyNumberFormat="1" applyFont="1" applyFill="1" applyBorder="1" applyAlignment="1" applyProtection="1">
      <alignment horizontal="right"/>
      <protection hidden="1"/>
    </xf>
    <xf numFmtId="0" fontId="29" fillId="11" borderId="10" xfId="4" applyFont="1" applyFill="1" applyBorder="1" applyAlignment="1" applyProtection="1">
      <alignment horizontal="center" vertical="center"/>
      <protection hidden="1"/>
    </xf>
    <xf numFmtId="0" fontId="30" fillId="11" borderId="31" xfId="4" applyFont="1" applyFill="1" applyBorder="1" applyAlignment="1" applyProtection="1">
      <alignment horizontal="center" vertical="center"/>
      <protection hidden="1"/>
    </xf>
    <xf numFmtId="165" fontId="25" fillId="13" borderId="10" xfId="1" applyNumberFormat="1" applyFont="1" applyFill="1" applyBorder="1" applyAlignment="1" applyProtection="1">
      <alignment horizontal="center"/>
      <protection hidden="1"/>
    </xf>
    <xf numFmtId="165" fontId="25" fillId="13" borderId="30" xfId="1" applyNumberFormat="1" applyFont="1" applyFill="1" applyBorder="1" applyAlignment="1" applyProtection="1">
      <alignment horizontal="center"/>
      <protection hidden="1"/>
    </xf>
    <xf numFmtId="165" fontId="25" fillId="13" borderId="34" xfId="1" applyNumberFormat="1" applyFont="1" applyFill="1" applyBorder="1" applyAlignment="1" applyProtection="1">
      <alignment horizontal="center"/>
      <protection locked="0" hidden="1"/>
    </xf>
    <xf numFmtId="165" fontId="25" fillId="13" borderId="35" xfId="1" applyNumberFormat="1" applyFont="1" applyFill="1" applyBorder="1" applyAlignment="1" applyProtection="1">
      <alignment horizontal="center"/>
      <protection locked="0" hidden="1"/>
    </xf>
    <xf numFmtId="165" fontId="25" fillId="13" borderId="11" xfId="1" applyNumberFormat="1" applyFont="1" applyFill="1" applyBorder="1" applyAlignment="1" applyProtection="1">
      <alignment horizontal="center"/>
      <protection hidden="1"/>
    </xf>
    <xf numFmtId="165" fontId="25" fillId="13" borderId="36" xfId="1" applyNumberFormat="1" applyFont="1" applyFill="1" applyBorder="1" applyAlignment="1" applyProtection="1">
      <alignment horizontal="center"/>
      <protection hidden="1"/>
    </xf>
    <xf numFmtId="165" fontId="25" fillId="13" borderId="22" xfId="1" applyNumberFormat="1" applyFont="1" applyFill="1" applyBorder="1" applyAlignment="1" applyProtection="1">
      <alignment horizontal="center"/>
      <protection hidden="1"/>
    </xf>
    <xf numFmtId="165" fontId="25" fillId="13" borderId="6" xfId="1" applyNumberFormat="1" applyFont="1" applyFill="1" applyBorder="1" applyAlignment="1" applyProtection="1">
      <alignment horizontal="center"/>
      <protection hidden="1"/>
    </xf>
    <xf numFmtId="0" fontId="27" fillId="13" borderId="10" xfId="0" applyFont="1" applyFill="1" applyBorder="1" applyAlignment="1" applyProtection="1">
      <alignment horizontal="left"/>
      <protection hidden="1"/>
    </xf>
    <xf numFmtId="0" fontId="27" fillId="13" borderId="31" xfId="0" applyFont="1" applyFill="1" applyBorder="1" applyAlignment="1" applyProtection="1">
      <alignment horizontal="left"/>
      <protection hidden="1"/>
    </xf>
    <xf numFmtId="0" fontId="25" fillId="13" borderId="10" xfId="0" applyFont="1" applyFill="1" applyBorder="1" applyAlignment="1" applyProtection="1">
      <alignment horizontal="right"/>
      <protection hidden="1"/>
    </xf>
    <xf numFmtId="0" fontId="25" fillId="13" borderId="31" xfId="0" applyFont="1" applyFill="1" applyBorder="1" applyAlignment="1" applyProtection="1">
      <alignment horizontal="right"/>
      <protection hidden="1"/>
    </xf>
    <xf numFmtId="165" fontId="25" fillId="6" borderId="10" xfId="1" applyNumberFormat="1" applyFont="1" applyFill="1" applyBorder="1" applyAlignment="1" applyProtection="1">
      <alignment horizontal="left"/>
      <protection hidden="1"/>
    </xf>
    <xf numFmtId="165" fontId="25" fillId="6" borderId="31" xfId="1" applyNumberFormat="1" applyFont="1" applyFill="1" applyBorder="1" applyAlignment="1" applyProtection="1">
      <alignment horizontal="left"/>
      <protection hidden="1"/>
    </xf>
    <xf numFmtId="165" fontId="25" fillId="0" borderId="29" xfId="1" applyNumberFormat="1" applyFont="1" applyFill="1" applyBorder="1" applyAlignment="1" applyProtection="1">
      <alignment horizontal="center" wrapText="1"/>
      <protection locked="0" hidden="1"/>
    </xf>
    <xf numFmtId="165" fontId="25" fillId="0" borderId="16" xfId="1" applyNumberFormat="1" applyFont="1" applyFill="1" applyBorder="1" applyAlignment="1" applyProtection="1">
      <alignment horizontal="center" wrapText="1"/>
      <protection locked="0" hidden="1"/>
    </xf>
    <xf numFmtId="165" fontId="25" fillId="0" borderId="26" xfId="1" applyNumberFormat="1" applyFont="1" applyFill="1" applyBorder="1" applyAlignment="1" applyProtection="1">
      <alignment horizontal="center" wrapText="1"/>
      <protection locked="0" hidden="1"/>
    </xf>
    <xf numFmtId="165" fontId="25" fillId="0" borderId="37" xfId="1" applyNumberFormat="1" applyFont="1" applyFill="1" applyBorder="1" applyAlignment="1" applyProtection="1">
      <alignment horizontal="left"/>
      <protection locked="0" hidden="1"/>
    </xf>
    <xf numFmtId="165" fontId="25" fillId="0" borderId="0" xfId="1" applyNumberFormat="1" applyFont="1" applyFill="1" applyBorder="1" applyAlignment="1" applyProtection="1">
      <alignment horizontal="left"/>
      <protection locked="0" hidden="1"/>
    </xf>
    <xf numFmtId="0" fontId="19" fillId="6" borderId="11" xfId="0" applyFont="1" applyFill="1" applyBorder="1" applyAlignment="1" applyProtection="1">
      <alignment horizontal="left"/>
      <protection hidden="1"/>
    </xf>
    <xf numFmtId="0" fontId="19" fillId="6" borderId="19" xfId="0" applyFont="1" applyFill="1" applyBorder="1" applyAlignment="1" applyProtection="1">
      <alignment horizontal="left"/>
      <protection hidden="1"/>
    </xf>
    <xf numFmtId="4" fontId="20" fillId="13" borderId="32" xfId="0" applyNumberFormat="1" applyFont="1" applyFill="1" applyBorder="1" applyAlignment="1" applyProtection="1">
      <alignment horizontal="left"/>
      <protection hidden="1"/>
    </xf>
    <xf numFmtId="4" fontId="20" fillId="13" borderId="3" xfId="0" applyNumberFormat="1" applyFont="1" applyFill="1" applyBorder="1" applyAlignment="1" applyProtection="1">
      <alignment horizontal="left"/>
      <protection hidden="1"/>
    </xf>
    <xf numFmtId="4" fontId="20" fillId="13" borderId="22" xfId="0" applyNumberFormat="1" applyFont="1" applyFill="1" applyBorder="1" applyAlignment="1" applyProtection="1">
      <alignment horizontal="left"/>
      <protection hidden="1"/>
    </xf>
    <xf numFmtId="4" fontId="20" fillId="13" borderId="8" xfId="0" applyNumberFormat="1" applyFont="1" applyFill="1" applyBorder="1" applyAlignment="1" applyProtection="1">
      <alignment horizontal="left"/>
      <protection hidden="1"/>
    </xf>
    <xf numFmtId="4" fontId="24" fillId="6" borderId="10" xfId="0" applyNumberFormat="1" applyFont="1" applyFill="1" applyBorder="1" applyAlignment="1" applyProtection="1">
      <alignment horizontal="right"/>
      <protection hidden="1"/>
    </xf>
    <xf numFmtId="4" fontId="24" fillId="6" borderId="30" xfId="0" applyNumberFormat="1" applyFont="1" applyFill="1" applyBorder="1" applyAlignment="1" applyProtection="1">
      <alignment horizontal="right"/>
      <protection hidden="1"/>
    </xf>
    <xf numFmtId="4" fontId="24" fillId="6" borderId="31" xfId="0" applyNumberFormat="1" applyFont="1" applyFill="1" applyBorder="1" applyAlignment="1" applyProtection="1">
      <alignment horizontal="right"/>
      <protection hidden="1"/>
    </xf>
    <xf numFmtId="4" fontId="19" fillId="13" borderId="16" xfId="0" applyNumberFormat="1" applyFont="1" applyFill="1" applyBorder="1" applyAlignment="1" applyProtection="1">
      <alignment horizontal="center" vertical="center"/>
      <protection hidden="1"/>
    </xf>
    <xf numFmtId="4" fontId="19" fillId="13" borderId="26" xfId="0" applyNumberFormat="1" applyFont="1" applyFill="1" applyBorder="1" applyAlignment="1" applyProtection="1">
      <alignment horizontal="center" vertical="center"/>
      <protection hidden="1"/>
    </xf>
    <xf numFmtId="0" fontId="20" fillId="13" borderId="24" xfId="0" applyFont="1" applyFill="1" applyBorder="1" applyAlignment="1" applyProtection="1">
      <alignment horizontal="right"/>
      <protection hidden="1"/>
    </xf>
    <xf numFmtId="165" fontId="25" fillId="13" borderId="10" xfId="1" applyNumberFormat="1" applyFont="1" applyFill="1" applyBorder="1" applyAlignment="1" applyProtection="1">
      <alignment horizontal="center" wrapText="1"/>
      <protection hidden="1"/>
    </xf>
    <xf numFmtId="165" fontId="25" fillId="13" borderId="30" xfId="1" applyNumberFormat="1" applyFont="1" applyFill="1" applyBorder="1" applyAlignment="1" applyProtection="1">
      <alignment horizontal="center" wrapText="1"/>
      <protection hidden="1"/>
    </xf>
    <xf numFmtId="0" fontId="19" fillId="6" borderId="17" xfId="0" applyFont="1" applyFill="1" applyBorder="1" applyAlignment="1" applyProtection="1">
      <alignment horizontal="left"/>
      <protection hidden="1"/>
    </xf>
    <xf numFmtId="0" fontId="19" fillId="6" borderId="18" xfId="0" applyFont="1" applyFill="1" applyBorder="1" applyAlignment="1" applyProtection="1">
      <alignment horizontal="left"/>
      <protection hidden="1"/>
    </xf>
  </cellXfs>
  <cellStyles count="6">
    <cellStyle name="Comma" xfId="1" builtinId="3"/>
    <cellStyle name="Comma 2" xfId="2"/>
    <cellStyle name="Comma_Calc_2007-08" xfId="3"/>
    <cellStyle name="Hyperlink" xfId="4" builtinId="8"/>
    <cellStyle name="Normal" xfId="0" builtinId="0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CCFF"/>
      <color rgb="FFFFCCFF"/>
      <color rgb="FFFF66FF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gargasa\shwet\Surabhi\British%20Airways\Kevin%20Steele98-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MITA\CIGNA\E_98-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DOCUME~1\DLSONISO\LOCALS~1\Temp\PN_01-02_21May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Priyanka%20Singh\Work%20Area\PCI\02-03\Anthony\Anthon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Priyanka%20Singh/Work%20Area/PCI/02-03/Anthony/Antho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Shwet\Singer\Coke%2000-01\Jeff%20Irwin\My%20Documents\SMITA\CIGNA\E_98-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Shwet/Singer/Coke%2000-01/Jeff%20Irwin/My%20Documents/SMITA/CIGNA/E_98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VIKRAM\Cargill-%20PR-98-99\Cargill-%20monthly%20payroll-98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anismi\smita\My%20Documents\SMITA\CIGNA\E_98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My%20Documents\SMITA\BRIT\Kevin%20Steele97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hilpa\reckitt%20&amp;%20colman\windows\TEMP\BRIT\Kevin%20Steele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Terry\TW_01-02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Form%2024\PN_01-02_21May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final%20final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kaurgu\jacobs\2000-01\Thomas_00_01_FINAL_18ju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5572880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5572880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5572880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5572880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5572880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1645864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1810450.4000000001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1810450.4000000001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argill- monthly payroll-98-99"/>
    </sheetNames>
    <definedNames>
      <definedName name="words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  <sheetName val="samik - dues"/>
      <sheetName val="Samik"/>
      <sheetName val="Samik (3)"/>
      <sheetName val="FORM-16 Samik"/>
      <sheetName val="dividend"/>
      <sheetName val="alok - for f-16"/>
      <sheetName val="FORM-16"/>
      <sheetName val="alok"/>
      <sheetName val="Tax deposits"/>
      <sheetName val="paysl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Cover"/>
    </sheetNames>
    <sheetDataSet>
      <sheetData sheetId="0">
        <row r="9">
          <cell r="B9" t="str">
            <v xml:space="preserve">    Name and Address of the Employer</v>
          </cell>
          <cell r="I9" t="str">
            <v>Name and Designation of the</v>
          </cell>
        </row>
        <row r="10">
          <cell r="I10" t="str">
            <v>Employee</v>
          </cell>
        </row>
        <row r="12">
          <cell r="B12" t="str">
            <v>THE BANK OF NOVA SCOTIA, CANADA</v>
          </cell>
          <cell r="I12" t="str">
            <v>TERRY WATKINS</v>
          </cell>
        </row>
        <row r="13">
          <cell r="B13" t="str">
            <v>DR. GOPAL DAS BHAWAN</v>
          </cell>
          <cell r="I13" t="str">
            <v>SENIOR PROJECT MANAGER</v>
          </cell>
        </row>
        <row r="14">
          <cell r="B14" t="str">
            <v>28, BARAKHAMBA ROAD</v>
          </cell>
        </row>
        <row r="15">
          <cell r="B15" t="str">
            <v xml:space="preserve">    PAN/GIR NO.</v>
          </cell>
          <cell r="E15" t="str">
            <v xml:space="preserve">   TAN</v>
          </cell>
          <cell r="I15" t="str">
            <v>PAN/GIR NO.</v>
          </cell>
        </row>
        <row r="16">
          <cell r="B16" t="str">
            <v>AAACB 1536H</v>
          </cell>
          <cell r="E16" t="str">
            <v>B-3784-E (STI) CRF</v>
          </cell>
          <cell r="I16" t="str">
            <v>AAIPW 4423F</v>
          </cell>
        </row>
        <row r="17">
          <cell r="G17" t="str">
            <v xml:space="preserve">      PERIOD</v>
          </cell>
          <cell r="J17" t="str">
            <v>ASSESSMENT</v>
          </cell>
        </row>
        <row r="18">
          <cell r="B18" t="str">
            <v xml:space="preserve">TDS Circle where Annual Return/Statement under </v>
          </cell>
          <cell r="G18" t="str">
            <v>FROM</v>
          </cell>
          <cell r="I18" t="str">
            <v>TO</v>
          </cell>
          <cell r="J18" t="str">
            <v>YEAR</v>
          </cell>
        </row>
        <row r="19">
          <cell r="B19" t="str">
            <v xml:space="preserve">section 206 is to be filed                   </v>
          </cell>
          <cell r="G19" t="str">
            <v>1 April 2001</v>
          </cell>
          <cell r="I19" t="str">
            <v>31 March 2002</v>
          </cell>
          <cell r="J19" t="str">
            <v>2002-2003</v>
          </cell>
          <cell r="K19" t="str">
            <v xml:space="preserve"> </v>
          </cell>
        </row>
        <row r="22">
          <cell r="B22" t="str">
            <v>DETAILS OF SALARY PAID AND ANY OTHER INCOME AND TAX DEDUCTED</v>
          </cell>
        </row>
        <row r="24">
          <cell r="J24" t="str">
            <v>Rs.</v>
          </cell>
          <cell r="K24" t="str">
            <v>Rs.</v>
          </cell>
        </row>
        <row r="25">
          <cell r="B25" t="str">
            <v>1.</v>
          </cell>
          <cell r="C25" t="str">
            <v xml:space="preserve">GROSS SALARY * </v>
          </cell>
          <cell r="J25">
            <v>9155189.6166619863</v>
          </cell>
        </row>
        <row r="27">
          <cell r="B27" t="str">
            <v>2.</v>
          </cell>
          <cell r="C27" t="str">
            <v>LESS :</v>
          </cell>
          <cell r="D27" t="str">
            <v>Allowance to the extent exempt under</v>
          </cell>
        </row>
        <row r="28">
          <cell r="D28" t="str">
            <v xml:space="preserve">section 10 : </v>
          </cell>
          <cell r="I28">
            <v>0</v>
          </cell>
        </row>
        <row r="30">
          <cell r="B30" t="str">
            <v>3.</v>
          </cell>
          <cell r="C30" t="str">
            <v>BALANCE (1-2)</v>
          </cell>
          <cell r="J30">
            <v>9155189.6166619863</v>
          </cell>
        </row>
        <row r="32">
          <cell r="B32" t="str">
            <v>4.</v>
          </cell>
          <cell r="C32" t="str">
            <v>DEDUCTIONS :</v>
          </cell>
        </row>
        <row r="33">
          <cell r="C33" t="str">
            <v>(a)  Standard deduction</v>
          </cell>
          <cell r="G33" t="str">
            <v xml:space="preserve"> </v>
          </cell>
          <cell r="I33">
            <v>0</v>
          </cell>
        </row>
        <row r="34">
          <cell r="C34" t="str">
            <v>(b)  Entertainment allowance</v>
          </cell>
          <cell r="G34" t="str">
            <v xml:space="preserve"> </v>
          </cell>
        </row>
        <row r="35">
          <cell r="C35" t="str">
            <v>(c)  Tax on Employment</v>
          </cell>
          <cell r="G35" t="str">
            <v xml:space="preserve"> </v>
          </cell>
        </row>
        <row r="37">
          <cell r="B37" t="str">
            <v>5.</v>
          </cell>
          <cell r="C37" t="str">
            <v>AGGREGATE OF 4 (a to c)</v>
          </cell>
          <cell r="I37" t="str">
            <v xml:space="preserve"> </v>
          </cell>
        </row>
        <row r="39">
          <cell r="B39" t="str">
            <v>6.</v>
          </cell>
          <cell r="C39" t="str">
            <v>INCOME CHARGEABLE UNDER</v>
          </cell>
        </row>
        <row r="40">
          <cell r="C40" t="str">
            <v>THE HEAD SALARIES (3-5)</v>
          </cell>
          <cell r="K40">
            <v>9155189.6166619863</v>
          </cell>
        </row>
        <row r="42">
          <cell r="B42" t="str">
            <v>7.</v>
          </cell>
          <cell r="C42" t="str">
            <v>ADD :</v>
          </cell>
          <cell r="D42" t="str">
            <v>Any other income reported by the</v>
          </cell>
        </row>
        <row r="43">
          <cell r="C43" t="str">
            <v>employee</v>
          </cell>
          <cell r="K43">
            <v>0</v>
          </cell>
        </row>
        <row r="45">
          <cell r="B45" t="str">
            <v>8.</v>
          </cell>
          <cell r="C45" t="str">
            <v>GROSS TOTAL INCOME (6+7)</v>
          </cell>
          <cell r="K45">
            <v>9155189.6166619863</v>
          </cell>
        </row>
        <row r="47">
          <cell r="B47" t="str">
            <v>9.</v>
          </cell>
          <cell r="C47" t="str">
            <v>DEDUCTIONS UNDER CHAPTER VI-A</v>
          </cell>
          <cell r="G47" t="str">
            <v>GROSS</v>
          </cell>
          <cell r="I47" t="str">
            <v>QUALIFYING</v>
          </cell>
          <cell r="J47" t="str">
            <v>DEDUCTIBLE</v>
          </cell>
        </row>
        <row r="48">
          <cell r="G48" t="str">
            <v>AMOUNT</v>
          </cell>
          <cell r="I48" t="str">
            <v>AMOUNT</v>
          </cell>
          <cell r="J48" t="str">
            <v>AMOUNT</v>
          </cell>
        </row>
        <row r="50">
          <cell r="C50" t="str">
            <v>(a)</v>
          </cell>
          <cell r="G50" t="str">
            <v>Rs.............</v>
          </cell>
          <cell r="I50" t="str">
            <v>Rs.............</v>
          </cell>
          <cell r="J50" t="str">
            <v>Rs.............</v>
          </cell>
        </row>
        <row r="51">
          <cell r="C51" t="str">
            <v>(b)</v>
          </cell>
          <cell r="G51" t="str">
            <v>Rs.............</v>
          </cell>
          <cell r="I51" t="str">
            <v>Rs.............</v>
          </cell>
          <cell r="J51" t="str">
            <v>Rs.............</v>
          </cell>
        </row>
        <row r="52">
          <cell r="C52" t="str">
            <v>(c)</v>
          </cell>
          <cell r="G52" t="str">
            <v>Rs.............</v>
          </cell>
          <cell r="I52" t="str">
            <v>Rs.............</v>
          </cell>
          <cell r="J52" t="str">
            <v>Rs.............</v>
          </cell>
        </row>
        <row r="53">
          <cell r="C53" t="str">
            <v>(d)</v>
          </cell>
          <cell r="G53" t="str">
            <v>Rs.............</v>
          </cell>
          <cell r="I53" t="str">
            <v>Rs.............</v>
          </cell>
          <cell r="J53" t="str">
            <v>Rs.............</v>
          </cell>
        </row>
        <row r="55">
          <cell r="B55" t="str">
            <v>10.</v>
          </cell>
          <cell r="C55" t="str">
            <v>Aggregate of deductible amount under</v>
          </cell>
          <cell r="K55" t="str">
            <v xml:space="preserve"> </v>
          </cell>
        </row>
        <row r="56">
          <cell r="C56" t="str">
            <v>Chapter VI-A</v>
          </cell>
          <cell r="K56">
            <v>0</v>
          </cell>
        </row>
        <row r="57">
          <cell r="K57" t="str">
            <v xml:space="preserve"> </v>
          </cell>
        </row>
        <row r="58">
          <cell r="B58" t="str">
            <v>11.</v>
          </cell>
          <cell r="C58" t="str">
            <v>TOTAL INCOME (8-10)</v>
          </cell>
          <cell r="E58" t="str">
            <v>(rounded off)</v>
          </cell>
          <cell r="K58">
            <v>9155190</v>
          </cell>
        </row>
        <row r="59">
          <cell r="K59" t="str">
            <v xml:space="preserve"> </v>
          </cell>
        </row>
        <row r="60">
          <cell r="B60" t="str">
            <v>12.</v>
          </cell>
          <cell r="C60" t="str">
            <v>TAX ON TOTAL INCOME</v>
          </cell>
          <cell r="K60">
            <v>2720557</v>
          </cell>
        </row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LIC</v>
          </cell>
          <cell r="G69" t="str">
            <v xml:space="preserve">Rs. </v>
          </cell>
          <cell r="I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  <cell r="I70" t="str">
            <v xml:space="preserve">Rs. </v>
          </cell>
        </row>
        <row r="71">
          <cell r="C71" t="str">
            <v>(c) National Savings Certificates</v>
          </cell>
          <cell r="G71" t="str">
            <v xml:space="preserve">Rs. </v>
          </cell>
          <cell r="I71" t="str">
            <v xml:space="preserve">Rs. </v>
          </cell>
        </row>
        <row r="72">
          <cell r="C72" t="str">
            <v>(d)UTI(s)</v>
          </cell>
          <cell r="G72" t="str">
            <v xml:space="preserve">Rs. </v>
          </cell>
          <cell r="I72" t="str">
            <v xml:space="preserve">Rs. </v>
          </cell>
        </row>
        <row r="73">
          <cell r="C73" t="str">
            <v>(e)</v>
          </cell>
          <cell r="G73" t="str">
            <v xml:space="preserve">Rs. </v>
          </cell>
          <cell r="I73" t="str">
            <v xml:space="preserve">Rs. </v>
          </cell>
        </row>
        <row r="74">
          <cell r="C74" t="str">
            <v>(f)  TOTAL (a) to (e)</v>
          </cell>
          <cell r="G74" t="str">
            <v xml:space="preserve">Rs. </v>
          </cell>
          <cell r="I74" t="str">
            <v xml:space="preserve">Rs. </v>
          </cell>
          <cell r="J74">
            <v>0</v>
          </cell>
        </row>
        <row r="76">
          <cell r="G76" t="str">
            <v>GROSS</v>
          </cell>
          <cell r="I76" t="str">
            <v>QUALIFYING</v>
          </cell>
        </row>
        <row r="77">
          <cell r="C77" t="str">
            <v>II.   Under Section 88A (please specify)</v>
          </cell>
          <cell r="G77" t="str">
            <v>AMOUNT</v>
          </cell>
          <cell r="I77" t="str">
            <v>AMOUNT</v>
          </cell>
        </row>
        <row r="79">
          <cell r="C79" t="str">
            <v>(a)</v>
          </cell>
          <cell r="G79" t="str">
            <v>Rs.............</v>
          </cell>
          <cell r="I79" t="str">
            <v>Rs.............</v>
          </cell>
        </row>
        <row r="80">
          <cell r="C80" t="str">
            <v>(b)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(c)  TOTAL [(a) + (b)]</v>
          </cell>
          <cell r="G81" t="str">
            <v>Rs.............</v>
          </cell>
          <cell r="I81" t="str">
            <v>Rs.............</v>
          </cell>
          <cell r="J81" t="str">
            <v>Nil</v>
          </cell>
        </row>
        <row r="83">
          <cell r="C83" t="str">
            <v>III.  Under Section 89 (attach details)</v>
          </cell>
          <cell r="J83" t="str">
            <v>Nil</v>
          </cell>
        </row>
        <row r="85">
          <cell r="B85" t="str">
            <v>14.</v>
          </cell>
          <cell r="C85" t="str">
            <v>AGGREGATE OF TAX REBATES</v>
          </cell>
        </row>
        <row r="86">
          <cell r="C86" t="str">
            <v xml:space="preserve">AND RELIEF AT 13 ABOVE </v>
          </cell>
        </row>
        <row r="87">
          <cell r="C87" t="str">
            <v>[I(f) + II(c) + III]</v>
          </cell>
          <cell r="K87">
            <v>0</v>
          </cell>
        </row>
        <row r="89">
          <cell r="B89" t="str">
            <v>15.</v>
          </cell>
          <cell r="C89" t="str">
            <v xml:space="preserve">TAX PAYABLE (12-14) AND </v>
          </cell>
        </row>
        <row r="90">
          <cell r="C90" t="str">
            <v>SURCHARGE THEREON</v>
          </cell>
          <cell r="K90">
            <v>2774968.14</v>
          </cell>
        </row>
        <row r="92">
          <cell r="B92" t="str">
            <v>16.</v>
          </cell>
          <cell r="C92" t="str">
            <v>LESS TAX DEDUCTED AT SOURCE</v>
          </cell>
          <cell r="K92">
            <v>0</v>
          </cell>
        </row>
        <row r="95">
          <cell r="B95" t="str">
            <v>17.</v>
          </cell>
          <cell r="C95" t="str">
            <v>TAX PAYABLE/(REFUNDABLE) (15-16)</v>
          </cell>
          <cell r="K95">
            <v>2774968.14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17">
          <cell r="C117">
            <v>0</v>
          </cell>
        </row>
        <row r="120">
          <cell r="B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B121" t="str">
            <v>has been deducted and paid to the credit of the Central Government. Further certified that the above information is true and</v>
          </cell>
        </row>
        <row r="122">
          <cell r="B122" t="str">
            <v>correct as per records.</v>
          </cell>
        </row>
        <row r="124">
          <cell r="G124" t="str">
            <v>....................................................................................................</v>
          </cell>
        </row>
        <row r="125">
          <cell r="G125" t="str">
            <v>Signature of the person responsible for deduction of tax</v>
          </cell>
        </row>
        <row r="127">
          <cell r="B127" t="str">
            <v xml:space="preserve">Place: </v>
          </cell>
          <cell r="G127" t="str">
            <v xml:space="preserve">Full Name : </v>
          </cell>
        </row>
        <row r="128">
          <cell r="B128" t="str">
            <v xml:space="preserve">Date:  </v>
          </cell>
          <cell r="G128" t="str">
            <v xml:space="preserve">Designation : </v>
          </cell>
        </row>
        <row r="130">
          <cell r="B130" t="str">
            <v xml:space="preserve">*  See sections 15 and 17 and rule 3. Furnish separate details of value of the perquisites and profits in lieu of or in </v>
          </cell>
        </row>
        <row r="131">
          <cell r="B131" t="str">
            <v>addition to salary or wages.</v>
          </cell>
        </row>
        <row r="134">
          <cell r="B134" t="str">
            <v>As per Income Tax (6th Amendment) Rules, 1991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  <sheetName val="Notes"/>
      <sheetName val="overseas "/>
      <sheetName val="Indian"/>
      <sheetName val="Cover"/>
      <sheetName val="Ann A"/>
      <sheetName val="Ann B"/>
      <sheetName val="ANN C"/>
      <sheetName val="ann D"/>
      <sheetName val="FORM 3"/>
      <sheetName val="Schedule A"/>
      <sheetName val="Schedule B"/>
      <sheetName val="Schedule C"/>
      <sheetName val="Schedule D"/>
      <sheetName val="Schedule E"/>
      <sheetName val="Schedule F "/>
      <sheetName val="Schedule G"/>
      <sheetName val="Schedule  H"/>
      <sheetName val="Ann E"/>
      <sheetName val="New Form 16"/>
      <sheetName val="Form 12BA"/>
      <sheetName val="Ann-Form 12BA"/>
      <sheetName val="Saral (2)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5572690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5572690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5572690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5572690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5572690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1645807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1810387.7000000002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1810387.7000000002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>
            <v>0</v>
          </cell>
          <cell r="H12">
            <v>0</v>
          </cell>
        </row>
        <row r="13">
          <cell r="A13">
            <v>0</v>
          </cell>
          <cell r="H13" t="str">
            <v>15 April 2000 to 31 March 2001</v>
          </cell>
        </row>
        <row r="14">
          <cell r="A14">
            <v>0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D16">
            <v>0</v>
          </cell>
          <cell r="H16">
            <v>0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2001-2002</v>
          </cell>
          <cell r="I19" t="str">
            <v>THOMAS MUDAYANKAVIL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4826770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4826770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4826770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4826770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4826770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1422031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1564234.1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1564234.1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bimabask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24"/>
  <sheetViews>
    <sheetView showGridLines="0" tabSelected="1" zoomScale="110" zoomScaleNormal="110" workbookViewId="0">
      <pane ySplit="1" topLeftCell="A2" activePane="bottomLeft" state="frozen"/>
      <selection pane="bottomLeft" activeCell="D8" sqref="D8"/>
    </sheetView>
  </sheetViews>
  <sheetFormatPr defaultColWidth="9.140625" defaultRowHeight="18" customHeight="1"/>
  <cols>
    <col min="1" max="1" width="0.42578125" style="2" customWidth="1"/>
    <col min="2" max="2" width="34.7109375" style="2" customWidth="1"/>
    <col min="3" max="3" width="15.140625" style="1" customWidth="1"/>
    <col min="4" max="4" width="13" style="1" customWidth="1"/>
    <col min="5" max="5" width="13.140625" style="1" customWidth="1"/>
    <col min="6" max="6" width="13.28515625" style="1" customWidth="1"/>
    <col min="7" max="7" width="12.42578125" style="1" customWidth="1"/>
    <col min="8" max="8" width="12.140625" style="1" customWidth="1"/>
    <col min="9" max="9" width="12.42578125" style="1" customWidth="1"/>
    <col min="10" max="10" width="12.7109375" style="1" customWidth="1"/>
    <col min="11" max="15" width="10.85546875" style="1" customWidth="1"/>
    <col min="16" max="16" width="12.7109375" style="1" customWidth="1"/>
    <col min="17" max="17" width="15.85546875" style="2" customWidth="1"/>
    <col min="18" max="18" width="9.28515625" style="2" bestFit="1" customWidth="1"/>
    <col min="19" max="16384" width="9.140625" style="2"/>
  </cols>
  <sheetData>
    <row r="1" spans="2:17" s="41" customFormat="1" ht="24.95" customHeight="1" thickBot="1">
      <c r="B1" s="175" t="s">
        <v>298</v>
      </c>
      <c r="C1" s="176"/>
      <c r="D1" s="155" t="s">
        <v>262</v>
      </c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</row>
    <row r="2" spans="2:17" s="22" customFormat="1" ht="20.100000000000001" customHeight="1" thickBot="1">
      <c r="B2" s="80" t="s">
        <v>48</v>
      </c>
      <c r="C2" s="40" t="s">
        <v>47</v>
      </c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</row>
    <row r="3" spans="2:17" s="22" customFormat="1" ht="20.100000000000001" customHeight="1" thickBot="1">
      <c r="B3" s="81" t="s">
        <v>124</v>
      </c>
      <c r="C3" s="40" t="s">
        <v>123</v>
      </c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</row>
    <row r="4" spans="2:17" s="22" customFormat="1" ht="20.100000000000001" customHeight="1" thickBot="1">
      <c r="B4" s="82" t="s">
        <v>42</v>
      </c>
      <c r="C4" s="40">
        <v>30</v>
      </c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</row>
    <row r="5" spans="2:17" s="22" customFormat="1" ht="20.100000000000001" customHeight="1" thickBot="1">
      <c r="B5" s="83" t="s">
        <v>0</v>
      </c>
      <c r="C5" s="40">
        <v>0</v>
      </c>
      <c r="D5" s="164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6"/>
    </row>
    <row r="6" spans="2:17" s="4" customFormat="1" ht="18" customHeight="1">
      <c r="B6" s="198" t="s">
        <v>285</v>
      </c>
      <c r="C6" s="199"/>
      <c r="D6" s="205" t="s">
        <v>1</v>
      </c>
      <c r="E6" s="205" t="s">
        <v>2</v>
      </c>
      <c r="F6" s="205" t="s">
        <v>3</v>
      </c>
      <c r="G6" s="205" t="s">
        <v>4</v>
      </c>
      <c r="H6" s="205" t="s">
        <v>5</v>
      </c>
      <c r="I6" s="205" t="s">
        <v>6</v>
      </c>
      <c r="J6" s="205" t="s">
        <v>7</v>
      </c>
      <c r="K6" s="205" t="s">
        <v>8</v>
      </c>
      <c r="L6" s="205" t="s">
        <v>9</v>
      </c>
      <c r="M6" s="205" t="s">
        <v>10</v>
      </c>
      <c r="N6" s="205" t="s">
        <v>11</v>
      </c>
      <c r="O6" s="205" t="s">
        <v>12</v>
      </c>
      <c r="P6" s="205" t="s">
        <v>13</v>
      </c>
      <c r="Q6" s="167" t="s">
        <v>286</v>
      </c>
    </row>
    <row r="7" spans="2:17" s="4" customFormat="1" ht="18" customHeight="1" thickBot="1">
      <c r="B7" s="200"/>
      <c r="C7" s="201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168"/>
    </row>
    <row r="8" spans="2:17" s="4" customFormat="1" ht="20.100000000000001" customHeight="1">
      <c r="B8" s="210" t="s">
        <v>55</v>
      </c>
      <c r="C8" s="211"/>
      <c r="D8" s="73">
        <v>0</v>
      </c>
      <c r="E8" s="73">
        <f>D8</f>
        <v>0</v>
      </c>
      <c r="F8" s="73">
        <f t="shared" ref="F8:O8" si="0">E8</f>
        <v>0</v>
      </c>
      <c r="G8" s="73">
        <f t="shared" si="0"/>
        <v>0</v>
      </c>
      <c r="H8" s="73">
        <f t="shared" si="0"/>
        <v>0</v>
      </c>
      <c r="I8" s="73">
        <f t="shared" si="0"/>
        <v>0</v>
      </c>
      <c r="J8" s="73">
        <f t="shared" si="0"/>
        <v>0</v>
      </c>
      <c r="K8" s="73">
        <f t="shared" si="0"/>
        <v>0</v>
      </c>
      <c r="L8" s="73">
        <f t="shared" si="0"/>
        <v>0</v>
      </c>
      <c r="M8" s="73">
        <f t="shared" si="0"/>
        <v>0</v>
      </c>
      <c r="N8" s="73">
        <f t="shared" si="0"/>
        <v>0</v>
      </c>
      <c r="O8" s="73">
        <f t="shared" si="0"/>
        <v>0</v>
      </c>
      <c r="P8" s="92">
        <f t="shared" ref="P8:P26" si="1">SUM(D8:O8)</f>
        <v>0</v>
      </c>
      <c r="Q8" s="93"/>
    </row>
    <row r="9" spans="2:17" s="4" customFormat="1" ht="20.100000000000001" customHeight="1">
      <c r="B9" s="196" t="s">
        <v>54</v>
      </c>
      <c r="C9" s="197"/>
      <c r="D9" s="74">
        <v>0</v>
      </c>
      <c r="E9" s="74">
        <f t="shared" ref="E9:O13" si="2">D9</f>
        <v>0</v>
      </c>
      <c r="F9" s="74">
        <f t="shared" si="2"/>
        <v>0</v>
      </c>
      <c r="G9" s="74">
        <f t="shared" si="2"/>
        <v>0</v>
      </c>
      <c r="H9" s="74">
        <f t="shared" si="2"/>
        <v>0</v>
      </c>
      <c r="I9" s="74">
        <f t="shared" si="2"/>
        <v>0</v>
      </c>
      <c r="J9" s="74">
        <f t="shared" si="2"/>
        <v>0</v>
      </c>
      <c r="K9" s="74">
        <f t="shared" si="2"/>
        <v>0</v>
      </c>
      <c r="L9" s="74">
        <f t="shared" si="2"/>
        <v>0</v>
      </c>
      <c r="M9" s="74">
        <f t="shared" si="2"/>
        <v>0</v>
      </c>
      <c r="N9" s="74">
        <f t="shared" si="2"/>
        <v>0</v>
      </c>
      <c r="O9" s="74">
        <f t="shared" si="2"/>
        <v>0</v>
      </c>
      <c r="P9" s="94">
        <f t="shared" si="1"/>
        <v>0</v>
      </c>
      <c r="Q9" s="95"/>
    </row>
    <row r="10" spans="2:17" s="4" customFormat="1" ht="20.100000000000001" customHeight="1">
      <c r="B10" s="196" t="s">
        <v>75</v>
      </c>
      <c r="C10" s="197"/>
      <c r="D10" s="74">
        <v>0</v>
      </c>
      <c r="E10" s="74">
        <f t="shared" si="2"/>
        <v>0</v>
      </c>
      <c r="F10" s="74">
        <f t="shared" si="2"/>
        <v>0</v>
      </c>
      <c r="G10" s="74">
        <f t="shared" si="2"/>
        <v>0</v>
      </c>
      <c r="H10" s="74">
        <f t="shared" si="2"/>
        <v>0</v>
      </c>
      <c r="I10" s="74">
        <f t="shared" si="2"/>
        <v>0</v>
      </c>
      <c r="J10" s="74">
        <f t="shared" si="2"/>
        <v>0</v>
      </c>
      <c r="K10" s="74">
        <f t="shared" si="2"/>
        <v>0</v>
      </c>
      <c r="L10" s="74">
        <f>K10</f>
        <v>0</v>
      </c>
      <c r="M10" s="74">
        <f t="shared" si="2"/>
        <v>0</v>
      </c>
      <c r="N10" s="74">
        <f t="shared" si="2"/>
        <v>0</v>
      </c>
      <c r="O10" s="74">
        <f t="shared" si="2"/>
        <v>0</v>
      </c>
      <c r="P10" s="94">
        <f>SUM(D10:O10)</f>
        <v>0</v>
      </c>
      <c r="Q10" s="95"/>
    </row>
    <row r="11" spans="2:17" s="4" customFormat="1" ht="20.100000000000001" customHeight="1">
      <c r="B11" s="196" t="s">
        <v>19</v>
      </c>
      <c r="C11" s="197"/>
      <c r="D11" s="74">
        <v>0</v>
      </c>
      <c r="E11" s="74">
        <f t="shared" si="2"/>
        <v>0</v>
      </c>
      <c r="F11" s="74">
        <f t="shared" si="2"/>
        <v>0</v>
      </c>
      <c r="G11" s="74">
        <f t="shared" si="2"/>
        <v>0</v>
      </c>
      <c r="H11" s="74">
        <f t="shared" si="2"/>
        <v>0</v>
      </c>
      <c r="I11" s="74">
        <f t="shared" si="2"/>
        <v>0</v>
      </c>
      <c r="J11" s="74">
        <f t="shared" ref="J11:O11" si="3">I11</f>
        <v>0</v>
      </c>
      <c r="K11" s="74">
        <f t="shared" si="3"/>
        <v>0</v>
      </c>
      <c r="L11" s="74">
        <f t="shared" si="3"/>
        <v>0</v>
      </c>
      <c r="M11" s="74">
        <f t="shared" si="3"/>
        <v>0</v>
      </c>
      <c r="N11" s="74">
        <f t="shared" si="3"/>
        <v>0</v>
      </c>
      <c r="O11" s="74">
        <f t="shared" si="3"/>
        <v>0</v>
      </c>
      <c r="P11" s="94">
        <f t="shared" si="1"/>
        <v>0</v>
      </c>
      <c r="Q11" s="95"/>
    </row>
    <row r="12" spans="2:17" s="4" customFormat="1" ht="20.100000000000001" customHeight="1">
      <c r="B12" s="196" t="s">
        <v>62</v>
      </c>
      <c r="C12" s="197"/>
      <c r="D12" s="74">
        <v>0</v>
      </c>
      <c r="E12" s="74">
        <f t="shared" si="2"/>
        <v>0</v>
      </c>
      <c r="F12" s="74">
        <f t="shared" si="2"/>
        <v>0</v>
      </c>
      <c r="G12" s="74">
        <f t="shared" si="2"/>
        <v>0</v>
      </c>
      <c r="H12" s="74">
        <f t="shared" si="2"/>
        <v>0</v>
      </c>
      <c r="I12" s="74">
        <f t="shared" si="2"/>
        <v>0</v>
      </c>
      <c r="J12" s="74">
        <f t="shared" ref="J12:O12" si="4">I12</f>
        <v>0</v>
      </c>
      <c r="K12" s="74">
        <f t="shared" si="4"/>
        <v>0</v>
      </c>
      <c r="L12" s="74">
        <f t="shared" si="4"/>
        <v>0</v>
      </c>
      <c r="M12" s="74">
        <f t="shared" si="4"/>
        <v>0</v>
      </c>
      <c r="N12" s="74">
        <f t="shared" si="4"/>
        <v>0</v>
      </c>
      <c r="O12" s="74">
        <f t="shared" si="4"/>
        <v>0</v>
      </c>
      <c r="P12" s="94">
        <f t="shared" si="1"/>
        <v>0</v>
      </c>
      <c r="Q12" s="95"/>
    </row>
    <row r="13" spans="2:17" s="4" customFormat="1" ht="20.100000000000001" customHeight="1">
      <c r="B13" s="196" t="s">
        <v>111</v>
      </c>
      <c r="C13" s="197"/>
      <c r="D13" s="74">
        <v>0</v>
      </c>
      <c r="E13" s="74">
        <f t="shared" si="2"/>
        <v>0</v>
      </c>
      <c r="F13" s="74">
        <f t="shared" si="2"/>
        <v>0</v>
      </c>
      <c r="G13" s="74">
        <f t="shared" si="2"/>
        <v>0</v>
      </c>
      <c r="H13" s="74">
        <f t="shared" si="2"/>
        <v>0</v>
      </c>
      <c r="I13" s="74">
        <f t="shared" si="2"/>
        <v>0</v>
      </c>
      <c r="J13" s="74">
        <f t="shared" ref="J13:O13" si="5">I13</f>
        <v>0</v>
      </c>
      <c r="K13" s="74">
        <f t="shared" si="5"/>
        <v>0</v>
      </c>
      <c r="L13" s="74">
        <f t="shared" si="5"/>
        <v>0</v>
      </c>
      <c r="M13" s="74">
        <f t="shared" si="5"/>
        <v>0</v>
      </c>
      <c r="N13" s="74">
        <f t="shared" si="5"/>
        <v>0</v>
      </c>
      <c r="O13" s="74">
        <f t="shared" si="5"/>
        <v>0</v>
      </c>
      <c r="P13" s="94">
        <f>SUM(D13:O13)</f>
        <v>0</v>
      </c>
      <c r="Q13" s="95"/>
    </row>
    <row r="14" spans="2:17" s="4" customFormat="1" ht="20.100000000000001" customHeight="1">
      <c r="B14" s="196" t="s">
        <v>33</v>
      </c>
      <c r="C14" s="197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>
        <v>0</v>
      </c>
      <c r="P14" s="94">
        <f t="shared" si="1"/>
        <v>0</v>
      </c>
      <c r="Q14" s="95"/>
    </row>
    <row r="15" spans="2:17" s="4" customFormat="1" ht="20.100000000000001" customHeight="1">
      <c r="B15" s="196" t="s">
        <v>45</v>
      </c>
      <c r="C15" s="197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94">
        <f>SUM(D15:O15)</f>
        <v>0</v>
      </c>
      <c r="Q15" s="95"/>
    </row>
    <row r="16" spans="2:17" s="4" customFormat="1" ht="20.100000000000001" customHeight="1">
      <c r="B16" s="196" t="s">
        <v>56</v>
      </c>
      <c r="C16" s="197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94">
        <f t="shared" si="1"/>
        <v>0</v>
      </c>
      <c r="Q16" s="95"/>
    </row>
    <row r="17" spans="2:17" s="4" customFormat="1" ht="20.100000000000001" customHeight="1">
      <c r="B17" s="196" t="s">
        <v>14</v>
      </c>
      <c r="C17" s="197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94">
        <f t="shared" si="1"/>
        <v>0</v>
      </c>
      <c r="Q17" s="95"/>
    </row>
    <row r="18" spans="2:17" s="4" customFormat="1" ht="20.100000000000001" customHeight="1">
      <c r="B18" s="196" t="s">
        <v>53</v>
      </c>
      <c r="C18" s="197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94">
        <f t="shared" si="1"/>
        <v>0</v>
      </c>
      <c r="Q18" s="95"/>
    </row>
    <row r="19" spans="2:17" s="4" customFormat="1" ht="20.100000000000001" customHeight="1">
      <c r="B19" s="196" t="s">
        <v>15</v>
      </c>
      <c r="C19" s="197"/>
      <c r="D19" s="74">
        <v>0</v>
      </c>
      <c r="E19" s="74">
        <f t="shared" ref="E19:O26" si="6">D19</f>
        <v>0</v>
      </c>
      <c r="F19" s="74">
        <f t="shared" si="6"/>
        <v>0</v>
      </c>
      <c r="G19" s="74">
        <f t="shared" si="6"/>
        <v>0</v>
      </c>
      <c r="H19" s="74">
        <f t="shared" si="6"/>
        <v>0</v>
      </c>
      <c r="I19" s="74">
        <f t="shared" si="6"/>
        <v>0</v>
      </c>
      <c r="J19" s="74">
        <f t="shared" si="6"/>
        <v>0</v>
      </c>
      <c r="K19" s="74">
        <f t="shared" si="6"/>
        <v>0</v>
      </c>
      <c r="L19" s="74">
        <f t="shared" si="6"/>
        <v>0</v>
      </c>
      <c r="M19" s="74">
        <f t="shared" si="6"/>
        <v>0</v>
      </c>
      <c r="N19" s="74">
        <f t="shared" si="6"/>
        <v>0</v>
      </c>
      <c r="O19" s="74">
        <f t="shared" si="6"/>
        <v>0</v>
      </c>
      <c r="P19" s="94">
        <f t="shared" si="1"/>
        <v>0</v>
      </c>
      <c r="Q19" s="95"/>
    </row>
    <row r="20" spans="2:17" s="4" customFormat="1" ht="20.100000000000001" customHeight="1">
      <c r="B20" s="196" t="s">
        <v>57</v>
      </c>
      <c r="C20" s="197"/>
      <c r="D20" s="74">
        <v>0</v>
      </c>
      <c r="E20" s="74">
        <f t="shared" si="6"/>
        <v>0</v>
      </c>
      <c r="F20" s="74">
        <f t="shared" si="6"/>
        <v>0</v>
      </c>
      <c r="G20" s="74">
        <f t="shared" si="6"/>
        <v>0</v>
      </c>
      <c r="H20" s="74">
        <f t="shared" si="6"/>
        <v>0</v>
      </c>
      <c r="I20" s="74">
        <f t="shared" si="6"/>
        <v>0</v>
      </c>
      <c r="J20" s="74">
        <f t="shared" si="6"/>
        <v>0</v>
      </c>
      <c r="K20" s="74">
        <f t="shared" si="6"/>
        <v>0</v>
      </c>
      <c r="L20" s="74">
        <f t="shared" si="6"/>
        <v>0</v>
      </c>
      <c r="M20" s="74">
        <f t="shared" si="6"/>
        <v>0</v>
      </c>
      <c r="N20" s="74">
        <f t="shared" si="6"/>
        <v>0</v>
      </c>
      <c r="O20" s="74">
        <f t="shared" si="6"/>
        <v>0</v>
      </c>
      <c r="P20" s="94">
        <f>SUM(D20:O20)</f>
        <v>0</v>
      </c>
      <c r="Q20" s="95"/>
    </row>
    <row r="21" spans="2:17" s="4" customFormat="1" ht="20.100000000000001" customHeight="1">
      <c r="B21" s="196" t="s">
        <v>109</v>
      </c>
      <c r="C21" s="197"/>
      <c r="D21" s="74">
        <v>0</v>
      </c>
      <c r="E21" s="74">
        <f t="shared" si="6"/>
        <v>0</v>
      </c>
      <c r="F21" s="74">
        <f t="shared" si="6"/>
        <v>0</v>
      </c>
      <c r="G21" s="74">
        <f t="shared" si="6"/>
        <v>0</v>
      </c>
      <c r="H21" s="74">
        <f t="shared" si="6"/>
        <v>0</v>
      </c>
      <c r="I21" s="74">
        <f t="shared" si="6"/>
        <v>0</v>
      </c>
      <c r="J21" s="74">
        <f t="shared" si="6"/>
        <v>0</v>
      </c>
      <c r="K21" s="74">
        <f t="shared" si="6"/>
        <v>0</v>
      </c>
      <c r="L21" s="74">
        <f t="shared" si="6"/>
        <v>0</v>
      </c>
      <c r="M21" s="74">
        <f t="shared" si="6"/>
        <v>0</v>
      </c>
      <c r="N21" s="74">
        <f t="shared" si="6"/>
        <v>0</v>
      </c>
      <c r="O21" s="74">
        <f t="shared" si="6"/>
        <v>0</v>
      </c>
      <c r="P21" s="94">
        <f>SUM(D21:O21)</f>
        <v>0</v>
      </c>
      <c r="Q21" s="95"/>
    </row>
    <row r="22" spans="2:17" s="4" customFormat="1" ht="20.100000000000001" customHeight="1">
      <c r="B22" s="196" t="s">
        <v>16</v>
      </c>
      <c r="C22" s="197"/>
      <c r="D22" s="74">
        <v>0</v>
      </c>
      <c r="E22" s="74">
        <f t="shared" si="6"/>
        <v>0</v>
      </c>
      <c r="F22" s="74">
        <f t="shared" si="6"/>
        <v>0</v>
      </c>
      <c r="G22" s="74">
        <f t="shared" si="6"/>
        <v>0</v>
      </c>
      <c r="H22" s="74">
        <f t="shared" si="6"/>
        <v>0</v>
      </c>
      <c r="I22" s="74">
        <f t="shared" si="6"/>
        <v>0</v>
      </c>
      <c r="J22" s="74">
        <f t="shared" si="6"/>
        <v>0</v>
      </c>
      <c r="K22" s="74">
        <f t="shared" si="6"/>
        <v>0</v>
      </c>
      <c r="L22" s="74">
        <f t="shared" si="6"/>
        <v>0</v>
      </c>
      <c r="M22" s="74">
        <f t="shared" si="6"/>
        <v>0</v>
      </c>
      <c r="N22" s="74">
        <f t="shared" si="6"/>
        <v>0</v>
      </c>
      <c r="O22" s="74">
        <f t="shared" si="6"/>
        <v>0</v>
      </c>
      <c r="P22" s="94">
        <f t="shared" si="1"/>
        <v>0</v>
      </c>
      <c r="Q22" s="95"/>
    </row>
    <row r="23" spans="2:17" s="4" customFormat="1" ht="20.100000000000001" customHeight="1">
      <c r="B23" s="196" t="s">
        <v>119</v>
      </c>
      <c r="C23" s="197"/>
      <c r="D23" s="74">
        <v>0</v>
      </c>
      <c r="E23" s="74">
        <f t="shared" si="6"/>
        <v>0</v>
      </c>
      <c r="F23" s="74">
        <f t="shared" si="6"/>
        <v>0</v>
      </c>
      <c r="G23" s="74">
        <f t="shared" si="6"/>
        <v>0</v>
      </c>
      <c r="H23" s="74">
        <f t="shared" si="6"/>
        <v>0</v>
      </c>
      <c r="I23" s="74">
        <f t="shared" si="6"/>
        <v>0</v>
      </c>
      <c r="J23" s="74">
        <f t="shared" si="6"/>
        <v>0</v>
      </c>
      <c r="K23" s="74">
        <f t="shared" si="6"/>
        <v>0</v>
      </c>
      <c r="L23" s="74">
        <f t="shared" si="6"/>
        <v>0</v>
      </c>
      <c r="M23" s="74">
        <f t="shared" si="6"/>
        <v>0</v>
      </c>
      <c r="N23" s="74">
        <f t="shared" si="6"/>
        <v>0</v>
      </c>
      <c r="O23" s="74">
        <f t="shared" si="6"/>
        <v>0</v>
      </c>
      <c r="P23" s="94">
        <f>SUM(D23:O23)</f>
        <v>0</v>
      </c>
      <c r="Q23" s="95"/>
    </row>
    <row r="24" spans="2:17" s="4" customFormat="1" ht="20.100000000000001" customHeight="1">
      <c r="B24" s="196" t="s">
        <v>29</v>
      </c>
      <c r="C24" s="197"/>
      <c r="D24" s="74">
        <v>0</v>
      </c>
      <c r="E24" s="74">
        <f t="shared" si="6"/>
        <v>0</v>
      </c>
      <c r="F24" s="74">
        <f t="shared" si="6"/>
        <v>0</v>
      </c>
      <c r="G24" s="74">
        <f t="shared" si="6"/>
        <v>0</v>
      </c>
      <c r="H24" s="74">
        <f t="shared" si="6"/>
        <v>0</v>
      </c>
      <c r="I24" s="74">
        <f t="shared" si="6"/>
        <v>0</v>
      </c>
      <c r="J24" s="74">
        <f t="shared" si="6"/>
        <v>0</v>
      </c>
      <c r="K24" s="74">
        <f t="shared" si="6"/>
        <v>0</v>
      </c>
      <c r="L24" s="74">
        <f t="shared" si="6"/>
        <v>0</v>
      </c>
      <c r="M24" s="74">
        <f t="shared" si="6"/>
        <v>0</v>
      </c>
      <c r="N24" s="74">
        <f t="shared" si="6"/>
        <v>0</v>
      </c>
      <c r="O24" s="74">
        <f t="shared" si="6"/>
        <v>0</v>
      </c>
      <c r="P24" s="94">
        <f t="shared" si="1"/>
        <v>0</v>
      </c>
      <c r="Q24" s="95"/>
    </row>
    <row r="25" spans="2:17" s="4" customFormat="1" ht="20.100000000000001" customHeight="1">
      <c r="B25" s="196" t="s">
        <v>34</v>
      </c>
      <c r="C25" s="197"/>
      <c r="D25" s="74">
        <v>0</v>
      </c>
      <c r="E25" s="74">
        <f t="shared" si="6"/>
        <v>0</v>
      </c>
      <c r="F25" s="74">
        <f t="shared" si="6"/>
        <v>0</v>
      </c>
      <c r="G25" s="74">
        <f t="shared" si="6"/>
        <v>0</v>
      </c>
      <c r="H25" s="74">
        <f t="shared" si="6"/>
        <v>0</v>
      </c>
      <c r="I25" s="74">
        <f t="shared" si="6"/>
        <v>0</v>
      </c>
      <c r="J25" s="74">
        <f t="shared" si="6"/>
        <v>0</v>
      </c>
      <c r="K25" s="74">
        <f t="shared" si="6"/>
        <v>0</v>
      </c>
      <c r="L25" s="74">
        <f t="shared" si="6"/>
        <v>0</v>
      </c>
      <c r="M25" s="74">
        <f t="shared" si="6"/>
        <v>0</v>
      </c>
      <c r="N25" s="74">
        <f t="shared" si="6"/>
        <v>0</v>
      </c>
      <c r="O25" s="74">
        <f t="shared" si="6"/>
        <v>0</v>
      </c>
      <c r="P25" s="94">
        <f t="shared" si="1"/>
        <v>0</v>
      </c>
      <c r="Q25" s="95"/>
    </row>
    <row r="26" spans="2:17" s="4" customFormat="1" ht="20.100000000000001" customHeight="1">
      <c r="B26" s="196" t="s">
        <v>35</v>
      </c>
      <c r="C26" s="197"/>
      <c r="D26" s="74">
        <v>0</v>
      </c>
      <c r="E26" s="74">
        <f t="shared" si="6"/>
        <v>0</v>
      </c>
      <c r="F26" s="74">
        <f t="shared" si="6"/>
        <v>0</v>
      </c>
      <c r="G26" s="74">
        <f t="shared" si="6"/>
        <v>0</v>
      </c>
      <c r="H26" s="74">
        <f t="shared" si="6"/>
        <v>0</v>
      </c>
      <c r="I26" s="74">
        <f t="shared" si="6"/>
        <v>0</v>
      </c>
      <c r="J26" s="74">
        <f t="shared" si="6"/>
        <v>0</v>
      </c>
      <c r="K26" s="74">
        <f t="shared" si="6"/>
        <v>0</v>
      </c>
      <c r="L26" s="74">
        <f t="shared" si="6"/>
        <v>0</v>
      </c>
      <c r="M26" s="74">
        <f t="shared" si="6"/>
        <v>0</v>
      </c>
      <c r="N26" s="74">
        <f t="shared" si="6"/>
        <v>0</v>
      </c>
      <c r="O26" s="74">
        <f t="shared" si="6"/>
        <v>0</v>
      </c>
      <c r="P26" s="94">
        <f t="shared" si="1"/>
        <v>0</v>
      </c>
      <c r="Q26" s="95"/>
    </row>
    <row r="27" spans="2:17" s="4" customFormat="1" ht="20.100000000000001" customHeight="1">
      <c r="B27" s="196" t="s">
        <v>40</v>
      </c>
      <c r="C27" s="197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94">
        <f t="shared" ref="P27:P36" si="7">SUM(D27:O27)</f>
        <v>0</v>
      </c>
      <c r="Q27" s="95"/>
    </row>
    <row r="28" spans="2:17" s="4" customFormat="1" ht="20.100000000000001" customHeight="1">
      <c r="B28" s="196" t="s">
        <v>41</v>
      </c>
      <c r="C28" s="197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94">
        <f t="shared" si="7"/>
        <v>0</v>
      </c>
      <c r="Q28" s="95"/>
    </row>
    <row r="29" spans="2:17" s="4" customFormat="1" ht="20.100000000000001" customHeight="1">
      <c r="B29" s="196" t="s">
        <v>113</v>
      </c>
      <c r="C29" s="197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94">
        <f>SUM(D29:O29)</f>
        <v>0</v>
      </c>
      <c r="Q29" s="95"/>
    </row>
    <row r="30" spans="2:17" s="4" customFormat="1" ht="20.100000000000001" customHeight="1">
      <c r="B30" s="196" t="s">
        <v>263</v>
      </c>
      <c r="C30" s="197"/>
      <c r="D30" s="74">
        <v>0</v>
      </c>
      <c r="E30" s="74">
        <f>D30</f>
        <v>0</v>
      </c>
      <c r="F30" s="74">
        <f t="shared" ref="F30:O30" si="8">E30</f>
        <v>0</v>
      </c>
      <c r="G30" s="74">
        <f t="shared" si="8"/>
        <v>0</v>
      </c>
      <c r="H30" s="74">
        <f t="shared" si="8"/>
        <v>0</v>
      </c>
      <c r="I30" s="74">
        <f t="shared" si="8"/>
        <v>0</v>
      </c>
      <c r="J30" s="74">
        <f t="shared" si="8"/>
        <v>0</v>
      </c>
      <c r="K30" s="74">
        <f t="shared" si="8"/>
        <v>0</v>
      </c>
      <c r="L30" s="74">
        <f t="shared" si="8"/>
        <v>0</v>
      </c>
      <c r="M30" s="74">
        <f t="shared" si="8"/>
        <v>0</v>
      </c>
      <c r="N30" s="74">
        <f t="shared" si="8"/>
        <v>0</v>
      </c>
      <c r="O30" s="74">
        <f t="shared" si="8"/>
        <v>0</v>
      </c>
      <c r="P30" s="94">
        <f t="shared" si="7"/>
        <v>0</v>
      </c>
      <c r="Q30" s="95"/>
    </row>
    <row r="31" spans="2:17" s="4" customFormat="1" ht="20.100000000000001" customHeight="1">
      <c r="B31" s="196" t="s">
        <v>117</v>
      </c>
      <c r="C31" s="197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96">
        <f>SUM(D31:O31)</f>
        <v>0</v>
      </c>
      <c r="Q31" s="95"/>
    </row>
    <row r="32" spans="2:17" s="4" customFormat="1" ht="20.100000000000001" customHeight="1">
      <c r="B32" s="196" t="s">
        <v>118</v>
      </c>
      <c r="C32" s="197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96">
        <f t="shared" si="7"/>
        <v>0</v>
      </c>
      <c r="Q32" s="95"/>
    </row>
    <row r="33" spans="2:17" s="4" customFormat="1" ht="20.100000000000001" customHeight="1">
      <c r="B33" s="196" t="s">
        <v>145</v>
      </c>
      <c r="C33" s="197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96">
        <f>SUM(D33:O33)</f>
        <v>0</v>
      </c>
      <c r="Q33" s="95"/>
    </row>
    <row r="34" spans="2:17" s="4" customFormat="1" ht="20.100000000000001" customHeight="1">
      <c r="B34" s="196" t="s">
        <v>135</v>
      </c>
      <c r="C34" s="197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96">
        <f t="shared" si="7"/>
        <v>0</v>
      </c>
      <c r="Q34" s="95"/>
    </row>
    <row r="35" spans="2:17" s="4" customFormat="1" ht="20.100000000000001" customHeight="1">
      <c r="B35" s="196" t="s">
        <v>134</v>
      </c>
      <c r="C35" s="197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96">
        <f>SUM(D35:O35)</f>
        <v>0</v>
      </c>
      <c r="Q35" s="95"/>
    </row>
    <row r="36" spans="2:17" s="4" customFormat="1" ht="20.100000000000001" customHeight="1">
      <c r="B36" s="196" t="s">
        <v>133</v>
      </c>
      <c r="C36" s="197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96">
        <f t="shared" si="7"/>
        <v>0</v>
      </c>
      <c r="Q36" s="95"/>
    </row>
    <row r="37" spans="2:17" s="4" customFormat="1" ht="20.100000000000001" customHeight="1">
      <c r="B37" s="196" t="s">
        <v>272</v>
      </c>
      <c r="C37" s="197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96">
        <f>SUM(D37:O37)</f>
        <v>0</v>
      </c>
      <c r="Q37" s="95"/>
    </row>
    <row r="38" spans="2:17" s="4" customFormat="1" ht="20.100000000000001" customHeight="1" thickBot="1">
      <c r="B38" s="196" t="s">
        <v>273</v>
      </c>
      <c r="C38" s="197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96">
        <f>SUM(D38:O38)</f>
        <v>0</v>
      </c>
      <c r="Q38" s="95"/>
    </row>
    <row r="39" spans="2:17" s="4" customFormat="1" ht="20.100000000000001" customHeight="1" thickTop="1" thickBot="1">
      <c r="B39" s="207" t="s">
        <v>44</v>
      </c>
      <c r="C39" s="207"/>
      <c r="D39" s="98">
        <f t="shared" ref="D39:O39" si="9">SUM(D8:D30)</f>
        <v>0</v>
      </c>
      <c r="E39" s="98">
        <f t="shared" si="9"/>
        <v>0</v>
      </c>
      <c r="F39" s="98">
        <f t="shared" si="9"/>
        <v>0</v>
      </c>
      <c r="G39" s="98">
        <f t="shared" si="9"/>
        <v>0</v>
      </c>
      <c r="H39" s="98">
        <f t="shared" si="9"/>
        <v>0</v>
      </c>
      <c r="I39" s="98">
        <f t="shared" si="9"/>
        <v>0</v>
      </c>
      <c r="J39" s="98">
        <f t="shared" si="9"/>
        <v>0</v>
      </c>
      <c r="K39" s="98">
        <f t="shared" si="9"/>
        <v>0</v>
      </c>
      <c r="L39" s="98">
        <f t="shared" si="9"/>
        <v>0</v>
      </c>
      <c r="M39" s="98">
        <f t="shared" si="9"/>
        <v>0</v>
      </c>
      <c r="N39" s="98">
        <f t="shared" si="9"/>
        <v>0</v>
      </c>
      <c r="O39" s="98">
        <f t="shared" si="9"/>
        <v>0</v>
      </c>
      <c r="P39" s="97">
        <f>SUM(P8:P38)+P131</f>
        <v>0</v>
      </c>
      <c r="Q39" s="97">
        <f>P39</f>
        <v>0</v>
      </c>
    </row>
    <row r="40" spans="2:17" s="4" customFormat="1" ht="20.100000000000001" customHeight="1" thickTop="1" thickBot="1">
      <c r="B40" s="99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  <c r="Q40" s="95"/>
    </row>
    <row r="41" spans="2:17" s="4" customFormat="1" ht="20.100000000000001" customHeight="1" thickBot="1">
      <c r="B41" s="185" t="s">
        <v>58</v>
      </c>
      <c r="C41" s="186"/>
      <c r="D41" s="103"/>
      <c r="E41" s="103"/>
      <c r="F41" s="103"/>
      <c r="G41" s="103"/>
      <c r="H41" s="104"/>
      <c r="I41" s="104"/>
      <c r="J41" s="104"/>
      <c r="K41" s="104"/>
      <c r="L41" s="104"/>
      <c r="M41" s="104"/>
      <c r="N41" s="104"/>
      <c r="O41" s="104"/>
      <c r="P41" s="105"/>
      <c r="Q41" s="95"/>
    </row>
    <row r="42" spans="2:17" s="4" customFormat="1" ht="20.100000000000001" customHeight="1" thickBot="1">
      <c r="B42" s="55" t="s">
        <v>17</v>
      </c>
      <c r="C42" s="191" t="s">
        <v>88</v>
      </c>
      <c r="D42" s="42"/>
      <c r="E42" s="42">
        <f>D42</f>
        <v>0</v>
      </c>
      <c r="F42" s="42">
        <f t="shared" ref="F42:O43" si="10">E42</f>
        <v>0</v>
      </c>
      <c r="G42" s="42">
        <f t="shared" si="10"/>
        <v>0</v>
      </c>
      <c r="H42" s="76">
        <f t="shared" si="10"/>
        <v>0</v>
      </c>
      <c r="I42" s="76">
        <f t="shared" si="10"/>
        <v>0</v>
      </c>
      <c r="J42" s="76">
        <f t="shared" si="10"/>
        <v>0</v>
      </c>
      <c r="K42" s="76">
        <f t="shared" si="10"/>
        <v>0</v>
      </c>
      <c r="L42" s="76">
        <f t="shared" si="10"/>
        <v>0</v>
      </c>
      <c r="M42" s="76">
        <f t="shared" si="10"/>
        <v>0</v>
      </c>
      <c r="N42" s="76">
        <f t="shared" si="10"/>
        <v>0</v>
      </c>
      <c r="O42" s="76">
        <f t="shared" si="10"/>
        <v>0</v>
      </c>
      <c r="P42" s="106">
        <f>SUM(D42:O42)</f>
        <v>0</v>
      </c>
      <c r="Q42" s="95"/>
    </row>
    <row r="43" spans="2:17" s="4" customFormat="1" ht="20.100000000000001" customHeight="1" thickBot="1">
      <c r="B43" s="56" t="s">
        <v>122</v>
      </c>
      <c r="C43" s="192"/>
      <c r="D43" s="57" t="s">
        <v>50</v>
      </c>
      <c r="E43" s="57" t="str">
        <f>D43</f>
        <v>Metro City</v>
      </c>
      <c r="F43" s="57" t="str">
        <f t="shared" si="10"/>
        <v>Metro City</v>
      </c>
      <c r="G43" s="57" t="str">
        <f t="shared" si="10"/>
        <v>Metro City</v>
      </c>
      <c r="H43" s="57" t="str">
        <f t="shared" si="10"/>
        <v>Metro City</v>
      </c>
      <c r="I43" s="57" t="str">
        <f t="shared" si="10"/>
        <v>Metro City</v>
      </c>
      <c r="J43" s="57" t="str">
        <f t="shared" si="10"/>
        <v>Metro City</v>
      </c>
      <c r="K43" s="57" t="str">
        <f t="shared" si="10"/>
        <v>Metro City</v>
      </c>
      <c r="L43" s="57" t="str">
        <f t="shared" si="10"/>
        <v>Metro City</v>
      </c>
      <c r="M43" s="57" t="str">
        <f t="shared" si="10"/>
        <v>Metro City</v>
      </c>
      <c r="N43" s="57" t="str">
        <f t="shared" si="10"/>
        <v>Metro City</v>
      </c>
      <c r="O43" s="57" t="str">
        <f t="shared" si="10"/>
        <v>Metro City</v>
      </c>
      <c r="P43" s="106"/>
      <c r="Q43" s="95"/>
    </row>
    <row r="44" spans="2:17" s="4" customFormat="1" ht="20.100000000000001" customHeight="1" thickBot="1">
      <c r="B44" s="58" t="s">
        <v>18</v>
      </c>
      <c r="C44" s="193"/>
      <c r="D44" s="107">
        <f t="shared" ref="D44:O44" si="11">MAX(IF(D43=$C$159,IF(D42&gt;0,MIN(0.4*(D8+D10),(D42-(0.1*(D8+D10))),D9),0),IF(D43=$C$158,IF(D42&gt;0,MIN(0.5*(D8+D10),(D42-(0.1*(D8+D10))),D9),0))),0)</f>
        <v>0</v>
      </c>
      <c r="E44" s="107">
        <f t="shared" si="11"/>
        <v>0</v>
      </c>
      <c r="F44" s="107">
        <f t="shared" si="11"/>
        <v>0</v>
      </c>
      <c r="G44" s="107">
        <f t="shared" si="11"/>
        <v>0</v>
      </c>
      <c r="H44" s="108">
        <f t="shared" si="11"/>
        <v>0</v>
      </c>
      <c r="I44" s="108">
        <f t="shared" si="11"/>
        <v>0</v>
      </c>
      <c r="J44" s="108">
        <f t="shared" si="11"/>
        <v>0</v>
      </c>
      <c r="K44" s="108">
        <f t="shared" si="11"/>
        <v>0</v>
      </c>
      <c r="L44" s="108">
        <f t="shared" si="11"/>
        <v>0</v>
      </c>
      <c r="M44" s="108">
        <f t="shared" si="11"/>
        <v>0</v>
      </c>
      <c r="N44" s="108">
        <f t="shared" si="11"/>
        <v>0</v>
      </c>
      <c r="O44" s="108">
        <f t="shared" si="11"/>
        <v>0</v>
      </c>
      <c r="P44" s="106">
        <f>IF(OR(C42=O159,C42=O158), SUM(D44:O44), 0)</f>
        <v>0</v>
      </c>
      <c r="Q44" s="95"/>
    </row>
    <row r="45" spans="2:17" s="4" customFormat="1" ht="18" customHeight="1" thickBot="1">
      <c r="B45" s="109"/>
      <c r="C45" s="110"/>
      <c r="D45" s="103"/>
      <c r="E45" s="103"/>
      <c r="F45" s="103"/>
      <c r="G45" s="103"/>
      <c r="H45" s="104"/>
      <c r="I45" s="104"/>
      <c r="J45" s="104"/>
      <c r="K45" s="104"/>
      <c r="L45" s="104"/>
      <c r="M45" s="104"/>
      <c r="N45" s="104"/>
      <c r="O45" s="104"/>
      <c r="P45" s="111"/>
      <c r="Q45" s="95"/>
    </row>
    <row r="46" spans="2:17" s="4" customFormat="1" ht="20.100000000000001" customHeight="1" thickBot="1">
      <c r="B46" s="112" t="s">
        <v>43</v>
      </c>
      <c r="C46" s="113" t="s">
        <v>264</v>
      </c>
      <c r="D46" s="103"/>
      <c r="E46" s="103"/>
      <c r="F46" s="103"/>
      <c r="G46" s="103"/>
      <c r="H46" s="114"/>
      <c r="I46" s="114"/>
      <c r="J46" s="114"/>
      <c r="K46" s="114"/>
      <c r="L46" s="114"/>
      <c r="M46" s="114"/>
      <c r="N46" s="114"/>
      <c r="O46" s="114"/>
      <c r="P46" s="115"/>
      <c r="Q46" s="95"/>
    </row>
    <row r="47" spans="2:17" s="4" customFormat="1" ht="20.100000000000001" customHeight="1">
      <c r="B47" s="55" t="s">
        <v>19</v>
      </c>
      <c r="C47" s="59">
        <f>IF(C5=1,MIN(P11,1200),IF(C5=2,MIN(P11,2400),0))</f>
        <v>0</v>
      </c>
      <c r="D47" s="103"/>
      <c r="E47" s="103"/>
      <c r="F47" s="103"/>
      <c r="G47" s="103"/>
      <c r="H47" s="114"/>
      <c r="I47" s="114"/>
      <c r="J47" s="114"/>
      <c r="K47" s="114"/>
      <c r="L47" s="114"/>
      <c r="M47" s="114"/>
      <c r="N47" s="114"/>
      <c r="O47" s="114"/>
      <c r="P47" s="116">
        <f>IF(C5=1,MIN(P11,C47,1200),IF(C5=2,MIN(P11,C47,2400),0))</f>
        <v>0</v>
      </c>
      <c r="Q47" s="95"/>
    </row>
    <row r="48" spans="2:17" s="4" customFormat="1" ht="20.100000000000001" customHeight="1">
      <c r="B48" s="60" t="s">
        <v>265</v>
      </c>
      <c r="C48" s="61">
        <f>P16</f>
        <v>0</v>
      </c>
      <c r="D48" s="103"/>
      <c r="E48" s="103"/>
      <c r="F48" s="103"/>
      <c r="G48" s="103"/>
      <c r="H48" s="114"/>
      <c r="I48" s="114"/>
      <c r="J48" s="114"/>
      <c r="K48" s="114"/>
      <c r="L48" s="114"/>
      <c r="M48" s="114"/>
      <c r="N48" s="114"/>
      <c r="O48" s="114"/>
      <c r="P48" s="117">
        <f>MIN(P16,C48)</f>
        <v>0</v>
      </c>
      <c r="Q48" s="95"/>
    </row>
    <row r="49" spans="2:17" s="4" customFormat="1" ht="20.100000000000001" customHeight="1">
      <c r="B49" s="60" t="s">
        <v>15</v>
      </c>
      <c r="C49" s="61">
        <f t="shared" ref="C49:C56" si="12">P19</f>
        <v>0</v>
      </c>
      <c r="D49" s="103"/>
      <c r="E49" s="103"/>
      <c r="F49" s="103"/>
      <c r="G49" s="103"/>
      <c r="H49" s="114"/>
      <c r="I49" s="114"/>
      <c r="J49" s="114"/>
      <c r="K49" s="114"/>
      <c r="L49" s="114"/>
      <c r="M49" s="114"/>
      <c r="N49" s="114"/>
      <c r="O49" s="114"/>
      <c r="P49" s="117">
        <f t="shared" ref="P49:P56" si="13">MIN(P19,C49)</f>
        <v>0</v>
      </c>
      <c r="Q49" s="95"/>
    </row>
    <row r="50" spans="2:17" s="4" customFormat="1" ht="20.100000000000001" customHeight="1">
      <c r="B50" s="60" t="s">
        <v>57</v>
      </c>
      <c r="C50" s="61">
        <f t="shared" si="12"/>
        <v>0</v>
      </c>
      <c r="D50" s="103"/>
      <c r="E50" s="103"/>
      <c r="F50" s="103"/>
      <c r="G50" s="103"/>
      <c r="H50" s="114"/>
      <c r="I50" s="114"/>
      <c r="J50" s="114"/>
      <c r="K50" s="114"/>
      <c r="L50" s="114"/>
      <c r="M50" s="114"/>
      <c r="N50" s="114"/>
      <c r="O50" s="114"/>
      <c r="P50" s="117">
        <f t="shared" si="13"/>
        <v>0</v>
      </c>
      <c r="Q50" s="95"/>
    </row>
    <row r="51" spans="2:17" s="4" customFormat="1" ht="20.100000000000001" customHeight="1">
      <c r="B51" s="60" t="s">
        <v>109</v>
      </c>
      <c r="C51" s="61">
        <f t="shared" si="12"/>
        <v>0</v>
      </c>
      <c r="D51" s="103"/>
      <c r="E51" s="103"/>
      <c r="F51" s="103"/>
      <c r="G51" s="103"/>
      <c r="H51" s="114"/>
      <c r="I51" s="114"/>
      <c r="J51" s="114"/>
      <c r="K51" s="114"/>
      <c r="L51" s="114"/>
      <c r="M51" s="114"/>
      <c r="N51" s="114"/>
      <c r="O51" s="114"/>
      <c r="P51" s="117">
        <f t="shared" si="13"/>
        <v>0</v>
      </c>
      <c r="Q51" s="95"/>
    </row>
    <row r="52" spans="2:17" s="4" customFormat="1" ht="20.100000000000001" customHeight="1">
      <c r="B52" s="60" t="s">
        <v>266</v>
      </c>
      <c r="C52" s="61">
        <f t="shared" si="12"/>
        <v>0</v>
      </c>
      <c r="D52" s="103"/>
      <c r="E52" s="103"/>
      <c r="F52" s="103"/>
      <c r="G52" s="103"/>
      <c r="H52" s="114"/>
      <c r="I52" s="114"/>
      <c r="J52" s="114"/>
      <c r="K52" s="114"/>
      <c r="L52" s="114"/>
      <c r="M52" s="114"/>
      <c r="N52" s="114"/>
      <c r="O52" s="114"/>
      <c r="P52" s="117">
        <f t="shared" si="13"/>
        <v>0</v>
      </c>
      <c r="Q52" s="95"/>
    </row>
    <row r="53" spans="2:17" s="4" customFormat="1" ht="20.100000000000001" customHeight="1">
      <c r="B53" s="60" t="s">
        <v>267</v>
      </c>
      <c r="C53" s="61">
        <f t="shared" si="12"/>
        <v>0</v>
      </c>
      <c r="D53" s="103"/>
      <c r="E53" s="103"/>
      <c r="F53" s="103"/>
      <c r="G53" s="103"/>
      <c r="H53" s="114"/>
      <c r="I53" s="114"/>
      <c r="J53" s="114"/>
      <c r="K53" s="114"/>
      <c r="L53" s="114"/>
      <c r="M53" s="114"/>
      <c r="N53" s="114"/>
      <c r="O53" s="114"/>
      <c r="P53" s="117">
        <f t="shared" si="13"/>
        <v>0</v>
      </c>
      <c r="Q53" s="95"/>
    </row>
    <row r="54" spans="2:17" s="4" customFormat="1" ht="20.100000000000001" customHeight="1">
      <c r="B54" s="60" t="s">
        <v>268</v>
      </c>
      <c r="C54" s="61">
        <f t="shared" si="12"/>
        <v>0</v>
      </c>
      <c r="D54" s="103"/>
      <c r="E54" s="103"/>
      <c r="F54" s="103"/>
      <c r="G54" s="103"/>
      <c r="H54" s="114"/>
      <c r="I54" s="114"/>
      <c r="J54" s="114"/>
      <c r="K54" s="114"/>
      <c r="L54" s="114"/>
      <c r="M54" s="114"/>
      <c r="N54" s="114"/>
      <c r="O54" s="114"/>
      <c r="P54" s="117">
        <f t="shared" si="13"/>
        <v>0</v>
      </c>
      <c r="Q54" s="95"/>
    </row>
    <row r="55" spans="2:17" s="4" customFormat="1" ht="20.100000000000001" customHeight="1">
      <c r="B55" s="60" t="s">
        <v>269</v>
      </c>
      <c r="C55" s="61">
        <f t="shared" si="12"/>
        <v>0</v>
      </c>
      <c r="D55" s="103"/>
      <c r="E55" s="103"/>
      <c r="F55" s="103"/>
      <c r="G55" s="103"/>
      <c r="H55" s="114"/>
      <c r="I55" s="114"/>
      <c r="J55" s="114"/>
      <c r="K55" s="114"/>
      <c r="L55" s="114"/>
      <c r="M55" s="114"/>
      <c r="N55" s="114"/>
      <c r="O55" s="114"/>
      <c r="P55" s="117">
        <f t="shared" si="13"/>
        <v>0</v>
      </c>
      <c r="Q55" s="95"/>
    </row>
    <row r="56" spans="2:17" s="4" customFormat="1" ht="20.100000000000001" customHeight="1">
      <c r="B56" s="60" t="s">
        <v>270</v>
      </c>
      <c r="C56" s="61">
        <f t="shared" si="12"/>
        <v>0</v>
      </c>
      <c r="D56" s="103"/>
      <c r="E56" s="103"/>
      <c r="F56" s="103"/>
      <c r="G56" s="103"/>
      <c r="H56" s="114"/>
      <c r="I56" s="114"/>
      <c r="J56" s="114"/>
      <c r="K56" s="114"/>
      <c r="L56" s="114"/>
      <c r="M56" s="114"/>
      <c r="N56" s="114"/>
      <c r="O56" s="114"/>
      <c r="P56" s="117">
        <f t="shared" si="13"/>
        <v>0</v>
      </c>
      <c r="Q56" s="95"/>
    </row>
    <row r="57" spans="2:17" s="4" customFormat="1" ht="20.100000000000001" customHeight="1">
      <c r="B57" s="60" t="s">
        <v>76</v>
      </c>
      <c r="C57" s="61">
        <v>0</v>
      </c>
      <c r="D57" s="103"/>
      <c r="E57" s="103"/>
      <c r="F57" s="103"/>
      <c r="G57" s="103"/>
      <c r="H57" s="114"/>
      <c r="I57" s="114"/>
      <c r="J57" s="114"/>
      <c r="K57" s="114"/>
      <c r="L57" s="114"/>
      <c r="M57" s="114"/>
      <c r="N57" s="114"/>
      <c r="O57" s="114"/>
      <c r="P57" s="117">
        <f>+C57</f>
        <v>0</v>
      </c>
      <c r="Q57" s="95"/>
    </row>
    <row r="58" spans="2:17" s="4" customFormat="1" ht="20.100000000000001" customHeight="1">
      <c r="B58" s="60" t="s">
        <v>120</v>
      </c>
      <c r="C58" s="61">
        <f>P15</f>
        <v>0</v>
      </c>
      <c r="D58" s="103"/>
      <c r="E58" s="103"/>
      <c r="F58" s="103"/>
      <c r="G58" s="103"/>
      <c r="H58" s="114"/>
      <c r="I58" s="114"/>
      <c r="J58" s="114"/>
      <c r="K58" s="114"/>
      <c r="L58" s="114"/>
      <c r="M58" s="114"/>
      <c r="N58" s="114"/>
      <c r="O58" s="114"/>
      <c r="P58" s="117">
        <f>MIN(P15,C58,2000000)</f>
        <v>0</v>
      </c>
      <c r="Q58" s="95"/>
    </row>
    <row r="59" spans="2:17" s="4" customFormat="1" ht="20.100000000000001" customHeight="1">
      <c r="B59" s="60" t="s">
        <v>121</v>
      </c>
      <c r="C59" s="61">
        <f>IF(D59=J159,P17,0)</f>
        <v>0</v>
      </c>
      <c r="D59" s="179" t="s">
        <v>171</v>
      </c>
      <c r="E59" s="180"/>
      <c r="F59" s="103"/>
      <c r="G59" s="103"/>
      <c r="H59" s="114"/>
      <c r="I59" s="114"/>
      <c r="J59" s="114"/>
      <c r="K59" s="114"/>
      <c r="L59" s="114"/>
      <c r="M59" s="114"/>
      <c r="N59" s="114"/>
      <c r="O59" s="114"/>
      <c r="P59" s="117">
        <f>MIN(P17,C59,300000)</f>
        <v>0</v>
      </c>
      <c r="Q59" s="95"/>
    </row>
    <row r="60" spans="2:17" s="4" customFormat="1" ht="20.100000000000001" customHeight="1" thickBot="1">
      <c r="B60" s="77" t="s">
        <v>144</v>
      </c>
      <c r="C60" s="84">
        <f>MAX((P30-P68),0)*30%</f>
        <v>0</v>
      </c>
      <c r="D60" s="103"/>
      <c r="E60" s="103"/>
      <c r="F60" s="103"/>
      <c r="G60" s="103"/>
      <c r="H60" s="114"/>
      <c r="I60" s="114"/>
      <c r="J60" s="114"/>
      <c r="K60" s="114"/>
      <c r="L60" s="114"/>
      <c r="M60" s="114"/>
      <c r="N60" s="114"/>
      <c r="O60" s="114"/>
      <c r="P60" s="117">
        <f>C60</f>
        <v>0</v>
      </c>
      <c r="Q60" s="95"/>
    </row>
    <row r="61" spans="2:17" s="4" customFormat="1" ht="20.100000000000001" customHeight="1" thickBot="1">
      <c r="B61" s="169" t="s">
        <v>20</v>
      </c>
      <c r="C61" s="170"/>
      <c r="D61" s="103"/>
      <c r="E61" s="103"/>
      <c r="F61" s="103"/>
      <c r="G61" s="103"/>
      <c r="H61" s="114"/>
      <c r="I61" s="114"/>
      <c r="J61" s="114"/>
      <c r="K61" s="114"/>
      <c r="L61" s="114"/>
      <c r="M61" s="114"/>
      <c r="N61" s="114"/>
      <c r="O61" s="114"/>
      <c r="P61" s="117">
        <f>P39-SUM(P44:P60)</f>
        <v>0</v>
      </c>
      <c r="Q61" s="118">
        <f>Q39-SUM(P58:P60)</f>
        <v>0</v>
      </c>
    </row>
    <row r="62" spans="2:17" s="4" customFormat="1" ht="20.100000000000001" customHeight="1">
      <c r="B62" s="171" t="s">
        <v>21</v>
      </c>
      <c r="C62" s="172"/>
      <c r="D62" s="103"/>
      <c r="E62" s="103"/>
      <c r="F62" s="103"/>
      <c r="G62" s="103"/>
      <c r="H62" s="114"/>
      <c r="I62" s="114"/>
      <c r="J62" s="114"/>
      <c r="K62" s="114"/>
      <c r="L62" s="114"/>
      <c r="M62" s="114"/>
      <c r="N62" s="114"/>
      <c r="O62" s="114"/>
      <c r="P62" s="117">
        <f>+P121</f>
        <v>0</v>
      </c>
      <c r="Q62" s="95"/>
    </row>
    <row r="63" spans="2:17" s="4" customFormat="1" ht="20.100000000000001" customHeight="1" thickBot="1">
      <c r="B63" s="77" t="s">
        <v>194</v>
      </c>
      <c r="C63" s="84">
        <f>MAX(MIN(P36,100000),0)</f>
        <v>0</v>
      </c>
      <c r="D63" s="103"/>
      <c r="E63" s="103"/>
      <c r="F63" s="103"/>
      <c r="G63" s="103"/>
      <c r="H63" s="114"/>
      <c r="I63" s="114"/>
      <c r="J63" s="114"/>
      <c r="K63" s="114"/>
      <c r="L63" s="114"/>
      <c r="M63" s="114"/>
      <c r="N63" s="114"/>
      <c r="O63" s="114"/>
      <c r="P63" s="117">
        <f>C63</f>
        <v>0</v>
      </c>
      <c r="Q63" s="95"/>
    </row>
    <row r="64" spans="2:17" s="4" customFormat="1" ht="20.100000000000001" customHeight="1" thickBot="1">
      <c r="B64" s="169" t="s">
        <v>22</v>
      </c>
      <c r="C64" s="170"/>
      <c r="D64" s="103"/>
      <c r="E64" s="103"/>
      <c r="F64" s="103"/>
      <c r="G64" s="103"/>
      <c r="H64" s="114"/>
      <c r="I64" s="114"/>
      <c r="J64" s="114"/>
      <c r="K64" s="114"/>
      <c r="L64" s="114"/>
      <c r="M64" s="114"/>
      <c r="N64" s="114"/>
      <c r="O64" s="114"/>
      <c r="P64" s="117">
        <f>P61-P62-P28-P29-IF(P27&gt;50000, 0, P27)-P128-P63</f>
        <v>0</v>
      </c>
      <c r="Q64" s="119">
        <f>Q61-P62-P28-P29-IF(P27&gt;50000, 0, P27)-P128-P63</f>
        <v>0</v>
      </c>
    </row>
    <row r="65" spans="2:18" s="4" customFormat="1" ht="20.100000000000001" customHeight="1" thickBot="1">
      <c r="B65" s="55" t="s">
        <v>127</v>
      </c>
      <c r="C65" s="85"/>
      <c r="D65" s="103" t="s">
        <v>295</v>
      </c>
      <c r="E65" s="103"/>
      <c r="F65" s="103"/>
      <c r="G65" s="103"/>
      <c r="H65" s="114"/>
      <c r="I65" s="114"/>
      <c r="J65" s="114"/>
      <c r="K65" s="114"/>
      <c r="L65" s="114"/>
      <c r="M65" s="114"/>
      <c r="N65" s="114"/>
      <c r="O65" s="114"/>
      <c r="P65" s="118"/>
      <c r="Q65" s="95"/>
    </row>
    <row r="66" spans="2:18" s="4" customFormat="1" ht="20.100000000000001" customHeight="1" thickBot="1">
      <c r="B66" s="60" t="s">
        <v>271</v>
      </c>
      <c r="C66" s="43">
        <v>0</v>
      </c>
      <c r="D66" s="194" t="s">
        <v>296</v>
      </c>
      <c r="E66" s="195"/>
      <c r="F66" s="195"/>
      <c r="G66" s="103"/>
      <c r="H66" s="114"/>
      <c r="I66" s="114"/>
      <c r="J66" s="114"/>
      <c r="K66" s="114"/>
      <c r="L66" s="114"/>
      <c r="M66" s="114"/>
      <c r="N66" s="114"/>
      <c r="O66" s="114"/>
      <c r="P66" s="120">
        <f xml:space="preserve"> IF(OR(C42=O160,C42=O158),IF(C66&gt;0,IF(AND(D66=R158,C65&lt;=4500000),MIN(350000,C66), MIN(200000,C66)),0), 0)</f>
        <v>0</v>
      </c>
      <c r="Q66" s="95"/>
    </row>
    <row r="67" spans="2:18" s="4" customFormat="1" ht="20.100000000000001" customHeight="1" thickBot="1">
      <c r="B67" s="60" t="s">
        <v>142</v>
      </c>
      <c r="C67" s="43">
        <v>0</v>
      </c>
      <c r="D67" s="103"/>
      <c r="E67" s="103"/>
      <c r="F67" s="103"/>
      <c r="G67" s="103"/>
      <c r="H67" s="114"/>
      <c r="I67" s="114"/>
      <c r="J67" s="114"/>
      <c r="K67" s="114"/>
      <c r="L67" s="114"/>
      <c r="M67" s="114"/>
      <c r="N67" s="114"/>
      <c r="O67" s="114"/>
      <c r="P67" s="120">
        <f>MAX(MIN((P30-P60-P68)+200000, MAX(C67,0)),0)</f>
        <v>0</v>
      </c>
      <c r="Q67" s="95"/>
    </row>
    <row r="68" spans="2:18" s="4" customFormat="1" ht="20.100000000000001" customHeight="1" thickBot="1">
      <c r="B68" s="77" t="s">
        <v>143</v>
      </c>
      <c r="C68" s="78">
        <v>0</v>
      </c>
      <c r="D68" s="103"/>
      <c r="E68" s="103"/>
      <c r="F68" s="103"/>
      <c r="G68" s="103"/>
      <c r="H68" s="114"/>
      <c r="I68" s="114"/>
      <c r="J68" s="114"/>
      <c r="K68" s="114"/>
      <c r="L68" s="114"/>
      <c r="M68" s="114"/>
      <c r="N68" s="114"/>
      <c r="O68" s="114"/>
      <c r="P68" s="120">
        <f xml:space="preserve"> IF(P30&gt;0,MIN(P30,C68),0)</f>
        <v>0</v>
      </c>
      <c r="Q68" s="95"/>
    </row>
    <row r="69" spans="2:18" s="4" customFormat="1" ht="20.100000000000001" customHeight="1" thickBot="1">
      <c r="B69" s="187" t="s">
        <v>23</v>
      </c>
      <c r="C69" s="188"/>
      <c r="D69" s="103"/>
      <c r="E69" s="103"/>
      <c r="F69" s="103"/>
      <c r="G69" s="103"/>
      <c r="H69" s="114"/>
      <c r="I69" s="114"/>
      <c r="J69" s="114"/>
      <c r="K69" s="114"/>
      <c r="L69" s="114"/>
      <c r="M69" s="114"/>
      <c r="N69" s="114"/>
      <c r="O69" s="114"/>
      <c r="P69" s="118">
        <f>MAX(P64-P33-P66-P67-P68,0)+P33</f>
        <v>0</v>
      </c>
      <c r="Q69" s="118">
        <f>MAX(Q64-P33-P68,0)+P33</f>
        <v>0</v>
      </c>
      <c r="R69" s="5"/>
    </row>
    <row r="70" spans="2:18" s="4" customFormat="1" ht="20.100000000000001" customHeight="1" thickBot="1">
      <c r="B70" s="146"/>
      <c r="C70" s="147"/>
      <c r="D70" s="103"/>
      <c r="E70" s="103"/>
      <c r="F70" s="103"/>
      <c r="G70" s="103"/>
      <c r="H70" s="104"/>
      <c r="I70" s="104"/>
      <c r="J70" s="104"/>
      <c r="K70" s="104"/>
      <c r="L70" s="104"/>
      <c r="M70" s="104"/>
      <c r="N70" s="104"/>
      <c r="O70" s="104"/>
      <c r="P70" s="121"/>
      <c r="Q70" s="122"/>
    </row>
    <row r="71" spans="2:18" s="4" customFormat="1" ht="20.100000000000001" customHeight="1" thickBot="1">
      <c r="B71" s="189" t="s">
        <v>24</v>
      </c>
      <c r="C71" s="190"/>
      <c r="D71" s="103"/>
      <c r="E71" s="103"/>
      <c r="F71" s="103"/>
      <c r="G71" s="103"/>
      <c r="H71" s="104"/>
      <c r="I71" s="104"/>
      <c r="J71" s="104"/>
      <c r="K71" s="104"/>
      <c r="L71" s="104"/>
      <c r="M71" s="104"/>
      <c r="N71" s="104"/>
      <c r="O71" s="104"/>
      <c r="P71" s="122"/>
      <c r="Q71" s="122"/>
    </row>
    <row r="72" spans="2:18" s="4" customFormat="1" ht="20.100000000000001" customHeight="1">
      <c r="B72" s="79" t="s">
        <v>73</v>
      </c>
      <c r="C72" s="47">
        <f>Savings!J17</f>
        <v>0</v>
      </c>
      <c r="D72" s="103"/>
      <c r="E72" s="103"/>
      <c r="F72" s="103"/>
      <c r="G72" s="103"/>
      <c r="H72" s="104"/>
      <c r="I72" s="104"/>
      <c r="J72" s="104"/>
      <c r="K72" s="104"/>
      <c r="L72" s="104"/>
      <c r="M72" s="104"/>
      <c r="N72" s="104"/>
      <c r="O72" s="104"/>
      <c r="P72" s="122"/>
      <c r="Q72" s="122"/>
    </row>
    <row r="73" spans="2:18" s="4" customFormat="1" ht="20.100000000000001" customHeight="1">
      <c r="B73" s="62" t="s">
        <v>26</v>
      </c>
      <c r="C73" s="45">
        <f>P122+P124</f>
        <v>0</v>
      </c>
      <c r="D73" s="103"/>
      <c r="E73" s="103"/>
      <c r="F73" s="103"/>
      <c r="G73" s="103"/>
      <c r="H73" s="104"/>
      <c r="I73" s="104"/>
      <c r="J73" s="104"/>
      <c r="K73" s="104"/>
      <c r="L73" s="104"/>
      <c r="M73" s="104"/>
      <c r="N73" s="104"/>
      <c r="O73" s="104"/>
      <c r="P73" s="122"/>
      <c r="Q73" s="122"/>
    </row>
    <row r="74" spans="2:18" s="4" customFormat="1" ht="20.100000000000001" customHeight="1">
      <c r="B74" s="62" t="s">
        <v>179</v>
      </c>
      <c r="C74" s="46">
        <f>Savings!D17</f>
        <v>0</v>
      </c>
      <c r="D74" s="103"/>
      <c r="E74" s="103"/>
      <c r="F74" s="103"/>
      <c r="G74" s="103"/>
      <c r="H74" s="104"/>
      <c r="I74" s="104"/>
      <c r="J74" s="104"/>
      <c r="K74" s="104"/>
      <c r="L74" s="104"/>
      <c r="M74" s="104"/>
      <c r="N74" s="104"/>
      <c r="O74" s="104"/>
      <c r="P74" s="122"/>
      <c r="Q74" s="122"/>
    </row>
    <row r="75" spans="2:18" s="4" customFormat="1" ht="20.100000000000001" customHeight="1">
      <c r="B75" s="62" t="s">
        <v>102</v>
      </c>
      <c r="C75" s="46">
        <f>Savings!M17</f>
        <v>0</v>
      </c>
      <c r="D75" s="103"/>
      <c r="E75" s="103"/>
      <c r="F75" s="103"/>
      <c r="G75" s="103"/>
      <c r="H75" s="104"/>
      <c r="I75" s="104"/>
      <c r="J75" s="104"/>
      <c r="K75" s="104"/>
      <c r="L75" s="104"/>
      <c r="M75" s="104"/>
      <c r="N75" s="104"/>
      <c r="O75" s="104"/>
      <c r="P75" s="122"/>
      <c r="Q75" s="122"/>
    </row>
    <row r="76" spans="2:18" s="4" customFormat="1" ht="20.100000000000001" customHeight="1">
      <c r="B76" s="62" t="s">
        <v>78</v>
      </c>
      <c r="C76" s="46">
        <f>Savings!G33</f>
        <v>0</v>
      </c>
      <c r="D76" s="103"/>
      <c r="E76" s="103"/>
      <c r="F76" s="103"/>
      <c r="G76" s="103"/>
      <c r="H76" s="104"/>
      <c r="I76" s="104"/>
      <c r="J76" s="104"/>
      <c r="K76" s="104"/>
      <c r="L76" s="104"/>
      <c r="M76" s="104"/>
      <c r="N76" s="104"/>
      <c r="O76" s="104"/>
      <c r="P76" s="122"/>
      <c r="Q76" s="122"/>
    </row>
    <row r="77" spans="2:18" s="4" customFormat="1" ht="20.100000000000001" customHeight="1">
      <c r="B77" s="62" t="s">
        <v>174</v>
      </c>
      <c r="C77" s="46">
        <f>Savings!J33</f>
        <v>0</v>
      </c>
      <c r="D77" s="103"/>
      <c r="E77" s="103"/>
      <c r="F77" s="103"/>
      <c r="G77" s="103"/>
      <c r="H77" s="104"/>
      <c r="I77" s="104"/>
      <c r="J77" s="104"/>
      <c r="K77" s="104"/>
      <c r="L77" s="104"/>
      <c r="M77" s="104"/>
      <c r="N77" s="104"/>
      <c r="O77" s="104"/>
      <c r="P77" s="122"/>
      <c r="Q77" s="122"/>
    </row>
    <row r="78" spans="2:18" s="4" customFormat="1" ht="20.100000000000001" customHeight="1">
      <c r="B78" s="62" t="s">
        <v>274</v>
      </c>
      <c r="C78" s="46">
        <f>Savings!M33</f>
        <v>0</v>
      </c>
      <c r="D78" s="103"/>
      <c r="E78" s="103"/>
      <c r="F78" s="103"/>
      <c r="G78" s="103"/>
      <c r="H78" s="104"/>
      <c r="I78" s="104"/>
      <c r="J78" s="104"/>
      <c r="K78" s="104"/>
      <c r="L78" s="104"/>
      <c r="M78" s="104"/>
      <c r="N78" s="104"/>
      <c r="O78" s="104"/>
      <c r="P78" s="122"/>
      <c r="Q78" s="122"/>
    </row>
    <row r="79" spans="2:18" s="4" customFormat="1" ht="20.100000000000001" customHeight="1">
      <c r="B79" s="62" t="s">
        <v>275</v>
      </c>
      <c r="C79" s="46">
        <f>Savings!D48</f>
        <v>0</v>
      </c>
      <c r="D79" s="103"/>
      <c r="E79" s="103"/>
      <c r="F79" s="103"/>
      <c r="G79" s="103"/>
      <c r="H79" s="104"/>
      <c r="I79" s="104"/>
      <c r="J79" s="104"/>
      <c r="K79" s="104"/>
      <c r="L79" s="104"/>
      <c r="M79" s="104"/>
      <c r="N79" s="104"/>
      <c r="O79" s="104"/>
      <c r="P79" s="122"/>
      <c r="Q79" s="122"/>
    </row>
    <row r="80" spans="2:18" s="4" customFormat="1" ht="20.100000000000001" customHeight="1">
      <c r="B80" s="62" t="s">
        <v>74</v>
      </c>
      <c r="C80" s="46">
        <f>Savings!G48</f>
        <v>0</v>
      </c>
      <c r="D80" s="103"/>
      <c r="E80" s="103"/>
      <c r="F80" s="103"/>
      <c r="G80" s="103"/>
      <c r="H80" s="104"/>
      <c r="I80" s="104"/>
      <c r="J80" s="104"/>
      <c r="K80" s="104"/>
      <c r="L80" s="104"/>
      <c r="M80" s="104"/>
      <c r="N80" s="104"/>
      <c r="O80" s="104"/>
      <c r="P80" s="122"/>
      <c r="Q80" s="122"/>
    </row>
    <row r="81" spans="2:17" s="4" customFormat="1" ht="20.100000000000001" customHeight="1">
      <c r="B81" s="62" t="s">
        <v>27</v>
      </c>
      <c r="C81" s="46">
        <f>Savings!J48</f>
        <v>0</v>
      </c>
      <c r="D81" s="103"/>
      <c r="E81" s="103"/>
      <c r="F81" s="103"/>
      <c r="G81" s="103"/>
      <c r="H81" s="104"/>
      <c r="I81" s="104"/>
      <c r="J81" s="104"/>
      <c r="K81" s="104"/>
      <c r="L81" s="104"/>
      <c r="M81" s="104"/>
      <c r="N81" s="104"/>
      <c r="O81" s="104"/>
      <c r="P81" s="122"/>
      <c r="Q81" s="122"/>
    </row>
    <row r="82" spans="2:17" s="4" customFormat="1" ht="20.100000000000001" customHeight="1">
      <c r="B82" s="62" t="s">
        <v>276</v>
      </c>
      <c r="C82" s="46">
        <f>Savings!M48</f>
        <v>0</v>
      </c>
      <c r="D82" s="103"/>
      <c r="E82" s="103"/>
      <c r="F82" s="103"/>
      <c r="G82" s="103"/>
      <c r="H82" s="104"/>
      <c r="I82" s="104"/>
      <c r="J82" s="104"/>
      <c r="K82" s="104"/>
      <c r="L82" s="104"/>
      <c r="M82" s="104"/>
      <c r="N82" s="104"/>
      <c r="O82" s="104"/>
      <c r="P82" s="122"/>
      <c r="Q82" s="122"/>
    </row>
    <row r="83" spans="2:17" s="4" customFormat="1" ht="20.100000000000001" customHeight="1">
      <c r="B83" s="62" t="s">
        <v>277</v>
      </c>
      <c r="C83" s="46">
        <v>0</v>
      </c>
      <c r="D83" s="103"/>
      <c r="E83" s="103"/>
      <c r="F83" s="103"/>
      <c r="G83" s="103"/>
      <c r="H83" s="104"/>
      <c r="I83" s="104"/>
      <c r="J83" s="104"/>
      <c r="K83" s="104"/>
      <c r="L83" s="104"/>
      <c r="M83" s="104"/>
      <c r="N83" s="104"/>
      <c r="O83" s="104"/>
      <c r="P83" s="122"/>
      <c r="Q83" s="122"/>
    </row>
    <row r="84" spans="2:17" s="4" customFormat="1" ht="20.100000000000001" customHeight="1" thickBot="1">
      <c r="B84" s="62" t="s">
        <v>59</v>
      </c>
      <c r="C84" s="46"/>
      <c r="D84" s="103"/>
      <c r="E84" s="103"/>
      <c r="F84" s="103"/>
      <c r="G84" s="103"/>
      <c r="H84" s="104"/>
      <c r="I84" s="104"/>
      <c r="J84" s="104"/>
      <c r="K84" s="104"/>
      <c r="L84" s="104"/>
      <c r="M84" s="104"/>
      <c r="N84" s="104"/>
      <c r="O84" s="104"/>
      <c r="P84" s="122"/>
      <c r="Q84" s="122"/>
    </row>
    <row r="85" spans="2:17" s="4" customFormat="1" ht="20.100000000000001" customHeight="1" thickBot="1">
      <c r="B85" s="62" t="s">
        <v>31</v>
      </c>
      <c r="C85" s="128">
        <f>+SUM(C72:C84)</f>
        <v>0</v>
      </c>
      <c r="D85" s="103"/>
      <c r="E85" s="103"/>
      <c r="F85" s="103"/>
      <c r="G85" s="103"/>
      <c r="H85" s="104"/>
      <c r="I85" s="104"/>
      <c r="J85" s="104"/>
      <c r="K85" s="104"/>
      <c r="L85" s="104"/>
      <c r="M85" s="104"/>
      <c r="N85" s="104"/>
      <c r="O85" s="104"/>
      <c r="P85" s="122"/>
      <c r="Q85" s="122"/>
    </row>
    <row r="86" spans="2:17" s="4" customFormat="1" ht="20.100000000000001" customHeight="1">
      <c r="B86" s="62" t="s">
        <v>32</v>
      </c>
      <c r="C86" s="47">
        <f>Savings!D63</f>
        <v>0</v>
      </c>
      <c r="D86" s="103"/>
      <c r="E86" s="103"/>
      <c r="F86" s="103"/>
      <c r="G86" s="103"/>
      <c r="H86" s="104"/>
      <c r="I86" s="104"/>
      <c r="J86" s="104"/>
      <c r="K86" s="104"/>
      <c r="L86" s="104"/>
      <c r="M86" s="104"/>
      <c r="N86" s="104"/>
      <c r="O86" s="104"/>
      <c r="P86" s="122"/>
      <c r="Q86" s="122"/>
    </row>
    <row r="87" spans="2:17" s="4" customFormat="1" ht="20.100000000000001" customHeight="1" thickBot="1">
      <c r="B87" s="62" t="s">
        <v>180</v>
      </c>
      <c r="C87" s="45">
        <f>P123</f>
        <v>0</v>
      </c>
      <c r="D87" s="103"/>
      <c r="E87" s="103"/>
      <c r="F87" s="103"/>
      <c r="G87" s="103"/>
      <c r="H87" s="104"/>
      <c r="I87" s="104"/>
      <c r="J87" s="104"/>
      <c r="K87" s="104"/>
      <c r="L87" s="104"/>
      <c r="M87" s="104"/>
      <c r="N87" s="104"/>
      <c r="O87" s="104"/>
      <c r="P87" s="122"/>
      <c r="Q87" s="122"/>
    </row>
    <row r="88" spans="2:17" s="4" customFormat="1" ht="20.100000000000001" customHeight="1" thickBot="1">
      <c r="B88" s="63" t="s">
        <v>178</v>
      </c>
      <c r="C88" s="128">
        <f>+C85+C86+C87</f>
        <v>0</v>
      </c>
      <c r="D88" s="103"/>
      <c r="E88" s="103"/>
      <c r="F88" s="103"/>
      <c r="G88" s="103"/>
      <c r="H88" s="104"/>
      <c r="I88" s="104"/>
      <c r="J88" s="104"/>
      <c r="K88" s="104"/>
      <c r="L88" s="104"/>
      <c r="M88" s="104"/>
      <c r="N88" s="104"/>
      <c r="O88" s="104"/>
      <c r="P88" s="120">
        <f>MIN(MIN(MAX(C85+C86,0),150000)+MIN(MAX(C87,0),150000),200000)</f>
        <v>0</v>
      </c>
      <c r="Q88" s="122"/>
    </row>
    <row r="89" spans="2:17" s="4" customFormat="1" ht="20.100000000000001" customHeight="1" thickBot="1">
      <c r="B89" s="208"/>
      <c r="C89" s="209"/>
      <c r="D89" s="103"/>
      <c r="E89" s="103"/>
      <c r="F89" s="103"/>
      <c r="G89" s="103"/>
      <c r="H89" s="104"/>
      <c r="I89" s="104"/>
      <c r="J89" s="104"/>
      <c r="K89" s="104"/>
      <c r="L89" s="104"/>
      <c r="M89" s="104"/>
      <c r="N89" s="104"/>
      <c r="O89" s="104"/>
      <c r="P89" s="123"/>
      <c r="Q89" s="122"/>
    </row>
    <row r="90" spans="2:17" s="4" customFormat="1" ht="20.100000000000001" customHeight="1" thickBot="1">
      <c r="B90" s="62" t="s">
        <v>279</v>
      </c>
      <c r="C90" s="44">
        <f>+P129</f>
        <v>0</v>
      </c>
      <c r="D90" s="103"/>
      <c r="E90" s="103"/>
      <c r="F90" s="103"/>
      <c r="G90" s="103"/>
      <c r="H90" s="104"/>
      <c r="I90" s="104"/>
      <c r="J90" s="104"/>
      <c r="K90" s="104"/>
      <c r="L90" s="104"/>
      <c r="M90" s="104"/>
      <c r="N90" s="104"/>
      <c r="O90" s="104"/>
      <c r="P90" s="120">
        <f>IF(C90&gt;0,MIN(25000,C90),0)</f>
        <v>0</v>
      </c>
      <c r="Q90" s="122"/>
    </row>
    <row r="91" spans="2:17" s="4" customFormat="1" ht="20.100000000000001" customHeight="1" thickBot="1">
      <c r="B91" s="62" t="s">
        <v>278</v>
      </c>
      <c r="C91" s="44">
        <v>0</v>
      </c>
      <c r="D91" s="179" t="s">
        <v>193</v>
      </c>
      <c r="E91" s="180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20">
        <f>IF(C91&gt;0,IF(D91=H159, MIN(50000,C91), MIN(25000,C91)),0)</f>
        <v>0</v>
      </c>
      <c r="Q91" s="122"/>
    </row>
    <row r="92" spans="2:17" s="4" customFormat="1" ht="20.100000000000001" customHeight="1" thickBot="1">
      <c r="B92" s="62" t="s">
        <v>280</v>
      </c>
      <c r="C92" s="44">
        <v>0</v>
      </c>
      <c r="D92" s="179" t="s">
        <v>84</v>
      </c>
      <c r="E92" s="180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20">
        <f>IF(C92&gt;0,IF(D92=G158, MIN(125000,C92), MIN(75000,C92)),0)</f>
        <v>0</v>
      </c>
      <c r="Q92" s="122"/>
    </row>
    <row r="93" spans="2:17" s="4" customFormat="1" ht="20.100000000000001" customHeight="1" thickBot="1">
      <c r="B93" s="62" t="s">
        <v>281</v>
      </c>
      <c r="C93" s="44">
        <v>0</v>
      </c>
      <c r="D93" s="179" t="s">
        <v>86</v>
      </c>
      <c r="E93" s="180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20">
        <f>IF(C93&gt;0,IF(D93=L158, MIN(40000,C93), MIN(100000,C93)),0)</f>
        <v>0</v>
      </c>
      <c r="Q93" s="122"/>
    </row>
    <row r="94" spans="2:17" s="4" customFormat="1" ht="20.100000000000001" customHeight="1" thickBot="1">
      <c r="B94" s="62" t="s">
        <v>282</v>
      </c>
      <c r="C94" s="44">
        <v>0</v>
      </c>
      <c r="D94" s="181"/>
      <c r="E94" s="182"/>
      <c r="F94" s="103"/>
      <c r="G94" s="103"/>
      <c r="H94" s="104"/>
      <c r="I94" s="104"/>
      <c r="J94" s="104"/>
      <c r="K94" s="104"/>
      <c r="L94" s="104"/>
      <c r="M94" s="104"/>
      <c r="N94" s="104"/>
      <c r="O94" s="104"/>
      <c r="P94" s="120">
        <f>MAX(0,C94)</f>
        <v>0</v>
      </c>
      <c r="Q94" s="122"/>
    </row>
    <row r="95" spans="2:17" s="4" customFormat="1" ht="20.100000000000001" customHeight="1" thickBot="1">
      <c r="B95" s="62" t="s">
        <v>283</v>
      </c>
      <c r="C95" s="44">
        <v>0</v>
      </c>
      <c r="D95" s="179" t="s">
        <v>84</v>
      </c>
      <c r="E95" s="180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20">
        <f>IF(C95&gt;0,IF(D95=G158, MIN(125000,C95), MIN(75000,C95)),0)</f>
        <v>0</v>
      </c>
      <c r="Q95" s="122"/>
    </row>
    <row r="96" spans="2:17" s="4" customFormat="1" ht="20.100000000000001" customHeight="1" thickBot="1">
      <c r="B96" s="62" t="s">
        <v>60</v>
      </c>
      <c r="C96" s="44">
        <v>0</v>
      </c>
      <c r="D96" s="103"/>
      <c r="E96" s="103"/>
      <c r="F96" s="103"/>
      <c r="G96" s="103"/>
      <c r="H96" s="104"/>
      <c r="I96" s="104"/>
      <c r="J96" s="104"/>
      <c r="K96" s="104"/>
      <c r="L96" s="104"/>
      <c r="M96" s="104"/>
      <c r="N96" s="104"/>
      <c r="O96" s="104"/>
      <c r="P96" s="120">
        <f>MIN(MAX(C96,0),(P39-P33)*10%)</f>
        <v>0</v>
      </c>
      <c r="Q96" s="122"/>
    </row>
    <row r="97" spans="2:18" s="4" customFormat="1" ht="20.100000000000001" customHeight="1" thickBot="1">
      <c r="B97" s="62" t="s">
        <v>61</v>
      </c>
      <c r="C97" s="44">
        <v>0</v>
      </c>
      <c r="D97" s="103"/>
      <c r="E97" s="103"/>
      <c r="F97" s="103"/>
      <c r="G97" s="103"/>
      <c r="H97" s="104"/>
      <c r="I97" s="104"/>
      <c r="J97" s="104"/>
      <c r="K97" s="104"/>
      <c r="L97" s="104"/>
      <c r="M97" s="104"/>
      <c r="N97" s="104"/>
      <c r="O97" s="104"/>
      <c r="P97" s="120">
        <f>MIN(MAX(C97/2,0),((P39-P33)*10%)-P96)</f>
        <v>0</v>
      </c>
      <c r="Q97" s="122"/>
    </row>
    <row r="98" spans="2:18" s="4" customFormat="1" ht="20.100000000000001" customHeight="1" thickBot="1">
      <c r="B98" s="62" t="s">
        <v>293</v>
      </c>
      <c r="C98" s="44">
        <v>0</v>
      </c>
      <c r="D98" s="103"/>
      <c r="E98" s="103"/>
      <c r="F98" s="103"/>
      <c r="G98" s="103"/>
      <c r="H98" s="104"/>
      <c r="I98" s="104"/>
      <c r="J98" s="104"/>
      <c r="K98" s="104"/>
      <c r="L98" s="104"/>
      <c r="M98" s="104"/>
      <c r="N98" s="104"/>
      <c r="O98" s="104"/>
      <c r="P98" s="120">
        <f>0</f>
        <v>0</v>
      </c>
      <c r="Q98" s="122"/>
    </row>
    <row r="99" spans="2:18" s="4" customFormat="1" ht="20.100000000000001" customHeight="1" thickBot="1">
      <c r="B99" s="62" t="s">
        <v>294</v>
      </c>
      <c r="C99" s="48">
        <f>IF(AND(D66=R158,G66=U158,C65&lt;=2500000,C65&gt;0,C66&gt;200000),MIN(C66-200000,MAX(100000-J66,0)),0)</f>
        <v>0</v>
      </c>
      <c r="D99" s="103"/>
      <c r="E99" s="103"/>
      <c r="F99" s="103"/>
      <c r="G99" s="103"/>
      <c r="H99" s="104"/>
      <c r="I99" s="104"/>
      <c r="J99" s="104"/>
      <c r="K99" s="104"/>
      <c r="L99" s="104"/>
      <c r="M99" s="104"/>
      <c r="N99" s="104"/>
      <c r="O99" s="104"/>
      <c r="P99" s="120">
        <f>0</f>
        <v>0</v>
      </c>
      <c r="Q99" s="122"/>
    </row>
    <row r="100" spans="2:18" s="4" customFormat="1" ht="20.100000000000001" customHeight="1" thickBot="1">
      <c r="B100" s="62" t="s">
        <v>173</v>
      </c>
      <c r="C100" s="48">
        <f>MAX(MIN((P10+P8)*10%,P131),0)</f>
        <v>0</v>
      </c>
      <c r="D100" s="103"/>
      <c r="E100" s="103"/>
      <c r="F100" s="103"/>
      <c r="G100" s="103"/>
      <c r="H100" s="104"/>
      <c r="I100" s="104"/>
      <c r="J100" s="104"/>
      <c r="K100" s="104"/>
      <c r="L100" s="104"/>
      <c r="M100" s="104"/>
      <c r="N100" s="104"/>
      <c r="O100" s="104"/>
      <c r="P100" s="120">
        <f>C100</f>
        <v>0</v>
      </c>
      <c r="Q100" s="122"/>
    </row>
    <row r="101" spans="2:18" s="4" customFormat="1" ht="20.100000000000001" customHeight="1" thickBot="1">
      <c r="B101" s="62" t="s">
        <v>195</v>
      </c>
      <c r="C101" s="48">
        <f>IF(C4&gt;=60, MAX(MIN(50000,P31+P32),0),MAX(MIN(10000,P31),0))</f>
        <v>0</v>
      </c>
      <c r="D101" s="103"/>
      <c r="E101" s="103"/>
      <c r="F101" s="103"/>
      <c r="G101" s="103"/>
      <c r="H101" s="104"/>
      <c r="I101" s="104"/>
      <c r="J101" s="104"/>
      <c r="K101" s="104"/>
      <c r="L101" s="104"/>
      <c r="M101" s="104"/>
      <c r="N101" s="104"/>
      <c r="O101" s="104"/>
      <c r="P101" s="120">
        <f>C101</f>
        <v>0</v>
      </c>
      <c r="Q101" s="122"/>
    </row>
    <row r="102" spans="2:18" s="4" customFormat="1" ht="20.100000000000001" customHeight="1" thickBot="1">
      <c r="B102" s="183" t="s">
        <v>25</v>
      </c>
      <c r="C102" s="184"/>
      <c r="D102" s="103"/>
      <c r="E102" s="103"/>
      <c r="F102" s="103"/>
      <c r="G102" s="103"/>
      <c r="H102" s="104"/>
      <c r="I102" s="104"/>
      <c r="J102" s="104"/>
      <c r="K102" s="104"/>
      <c r="L102" s="104"/>
      <c r="M102" s="104"/>
      <c r="N102" s="104"/>
      <c r="O102" s="104"/>
      <c r="P102" s="123"/>
      <c r="Q102" s="122"/>
    </row>
    <row r="103" spans="2:18" s="4" customFormat="1" ht="20.100000000000001" customHeight="1" thickBot="1">
      <c r="B103" s="173" t="s">
        <v>259</v>
      </c>
      <c r="C103" s="174"/>
      <c r="D103" s="103"/>
      <c r="E103" s="103"/>
      <c r="F103" s="103"/>
      <c r="G103" s="103"/>
      <c r="H103" s="114"/>
      <c r="I103" s="114"/>
      <c r="J103" s="114"/>
      <c r="K103" s="114"/>
      <c r="L103" s="114"/>
      <c r="M103" s="114"/>
      <c r="N103" s="114"/>
      <c r="O103" s="114"/>
      <c r="P103" s="120">
        <f>MIN(50000,P69,SUM(P8+P12))</f>
        <v>0</v>
      </c>
      <c r="Q103" s="122"/>
    </row>
    <row r="104" spans="2:18" s="4" customFormat="1" ht="20.100000000000001" customHeight="1" thickBot="1">
      <c r="B104" s="177" t="s">
        <v>25</v>
      </c>
      <c r="C104" s="178"/>
      <c r="D104" s="103"/>
      <c r="E104" s="103"/>
      <c r="F104" s="103"/>
      <c r="G104" s="103"/>
      <c r="H104" s="114"/>
      <c r="I104" s="114"/>
      <c r="J104" s="114"/>
      <c r="K104" s="114"/>
      <c r="L104" s="114"/>
      <c r="M104" s="114"/>
      <c r="N104" s="114"/>
      <c r="O104" s="114"/>
      <c r="P104" s="124"/>
      <c r="Q104" s="122"/>
    </row>
    <row r="105" spans="2:18" s="4" customFormat="1" ht="20.100000000000001" customHeight="1" thickBot="1">
      <c r="B105" s="173" t="s">
        <v>114</v>
      </c>
      <c r="C105" s="174"/>
      <c r="D105" s="103"/>
      <c r="E105" s="103"/>
      <c r="F105" s="103"/>
      <c r="G105" s="103"/>
      <c r="H105" s="114"/>
      <c r="I105" s="114"/>
      <c r="J105" s="114"/>
      <c r="K105" s="114"/>
      <c r="L105" s="114"/>
      <c r="M105" s="114"/>
      <c r="N105" s="114"/>
      <c r="O105" s="114"/>
      <c r="P105" s="120">
        <f>MAX(MAX(P69-P33-SUM(P88:P101),0)+P33-P103,0)</f>
        <v>0</v>
      </c>
      <c r="Q105" s="120">
        <f>MAX(MAX(Q69-P33,0)+P33,0)</f>
        <v>0</v>
      </c>
    </row>
    <row r="106" spans="2:18" s="4" customFormat="1" ht="20.100000000000001" customHeight="1" thickBot="1">
      <c r="B106" s="177"/>
      <c r="C106" s="178"/>
      <c r="D106" s="103"/>
      <c r="E106" s="103"/>
      <c r="F106" s="103"/>
      <c r="G106" s="103"/>
      <c r="H106" s="114"/>
      <c r="I106" s="114"/>
      <c r="J106" s="114"/>
      <c r="K106" s="114"/>
      <c r="L106" s="114"/>
      <c r="M106" s="114"/>
      <c r="N106" s="114"/>
      <c r="O106" s="114"/>
      <c r="P106" s="125"/>
      <c r="Q106" s="122"/>
    </row>
    <row r="107" spans="2:18" s="4" customFormat="1" ht="20.100000000000001" customHeight="1" thickBot="1">
      <c r="B107" s="173" t="s">
        <v>115</v>
      </c>
      <c r="C107" s="174"/>
      <c r="D107" s="103"/>
      <c r="E107" s="103"/>
      <c r="F107" s="103"/>
      <c r="G107" s="103"/>
      <c r="H107" s="114"/>
      <c r="I107" s="114"/>
      <c r="J107" s="114"/>
      <c r="K107" s="114"/>
      <c r="L107" s="114"/>
      <c r="M107" s="114"/>
      <c r="N107" s="114"/>
      <c r="O107" s="114"/>
      <c r="P107" s="120">
        <f>+ROUND(P105,-1)</f>
        <v>0</v>
      </c>
      <c r="Q107" s="120">
        <f>+ROUND(Q105,-1)</f>
        <v>0</v>
      </c>
    </row>
    <row r="108" spans="2:18" s="4" customFormat="1" ht="20.100000000000001" customHeight="1" thickBot="1">
      <c r="B108" s="177"/>
      <c r="C108" s="178"/>
      <c r="D108" s="103"/>
      <c r="E108" s="103"/>
      <c r="F108" s="103"/>
      <c r="G108" s="103"/>
      <c r="H108" s="114"/>
      <c r="I108" s="114"/>
      <c r="J108" s="114"/>
      <c r="K108" s="114"/>
      <c r="L108" s="114"/>
      <c r="M108" s="114"/>
      <c r="N108" s="114"/>
      <c r="O108" s="114"/>
      <c r="P108" s="124"/>
      <c r="Q108" s="124"/>
      <c r="R108" s="6"/>
    </row>
    <row r="109" spans="2:18" s="4" customFormat="1" ht="20.100000000000001" customHeight="1" thickBot="1">
      <c r="B109" s="173" t="s">
        <v>95</v>
      </c>
      <c r="C109" s="174"/>
      <c r="D109" s="103"/>
      <c r="E109" s="103"/>
      <c r="F109" s="103"/>
      <c r="G109" s="103"/>
      <c r="H109" s="114"/>
      <c r="I109" s="114"/>
      <c r="J109" s="114"/>
      <c r="K109" s="114"/>
      <c r="L109" s="114"/>
      <c r="M109" s="114"/>
      <c r="N109" s="114"/>
      <c r="O109" s="114"/>
      <c r="P109" s="120">
        <f>C176</f>
        <v>0</v>
      </c>
      <c r="Q109" s="120">
        <f>C170</f>
        <v>0</v>
      </c>
      <c r="R109" s="7"/>
    </row>
    <row r="110" spans="2:18" s="4" customFormat="1" ht="20.100000000000001" customHeight="1" thickBot="1">
      <c r="B110" s="173" t="s">
        <v>260</v>
      </c>
      <c r="C110" s="174"/>
      <c r="D110" s="103"/>
      <c r="E110" s="103"/>
      <c r="F110" s="103"/>
      <c r="G110" s="103"/>
      <c r="H110" s="114"/>
      <c r="I110" s="114"/>
      <c r="J110" s="114"/>
      <c r="K110" s="114"/>
      <c r="L110" s="114"/>
      <c r="M110" s="114"/>
      <c r="N110" s="114"/>
      <c r="O110" s="114"/>
      <c r="P110" s="120">
        <f>IF(P105&gt;500000,0,MIN(P109,12500))</f>
        <v>0</v>
      </c>
      <c r="Q110" s="120">
        <f>IF(Q105&gt;500000,0,MIN(Q109,12500))</f>
        <v>0</v>
      </c>
      <c r="R110" s="7"/>
    </row>
    <row r="111" spans="2:18" s="4" customFormat="1" ht="20.100000000000001" customHeight="1" thickBot="1">
      <c r="B111" s="173" t="s">
        <v>261</v>
      </c>
      <c r="C111" s="174"/>
      <c r="D111" s="103"/>
      <c r="E111" s="103"/>
      <c r="F111" s="103"/>
      <c r="G111" s="103"/>
      <c r="H111" s="114"/>
      <c r="I111" s="114"/>
      <c r="J111" s="114"/>
      <c r="K111" s="114"/>
      <c r="L111" s="114"/>
      <c r="M111" s="114"/>
      <c r="N111" s="114"/>
      <c r="O111" s="114"/>
      <c r="P111" s="120">
        <f>P109-P110</f>
        <v>0</v>
      </c>
      <c r="Q111" s="120">
        <f>Q109-Q110</f>
        <v>0</v>
      </c>
      <c r="R111" s="7"/>
    </row>
    <row r="112" spans="2:18" s="4" customFormat="1" ht="20.100000000000001" customHeight="1" thickBot="1">
      <c r="B112" s="173" t="s">
        <v>125</v>
      </c>
      <c r="C112" s="174"/>
      <c r="D112" s="103"/>
      <c r="E112" s="103"/>
      <c r="F112" s="103"/>
      <c r="G112" s="103"/>
      <c r="H112" s="114"/>
      <c r="I112" s="114"/>
      <c r="J112" s="114"/>
      <c r="K112" s="114"/>
      <c r="L112" s="114"/>
      <c r="M112" s="114"/>
      <c r="N112" s="114"/>
      <c r="O112" s="114"/>
      <c r="P112" s="120">
        <f xml:space="preserve"> IF(AND(E192=0,E191=0),G192,IF(AND(E192&gt;0,E191=0),E192,E192))</f>
        <v>0</v>
      </c>
      <c r="Q112" s="120">
        <f>IF(AND(N194=0,N193=0),N195,IF(AND(N194&gt;0,N193=0),N194,N194))</f>
        <v>0</v>
      </c>
      <c r="R112" s="7"/>
    </row>
    <row r="113" spans="2:18" s="4" customFormat="1" ht="20.100000000000001" customHeight="1" thickBot="1">
      <c r="B113" s="173" t="s">
        <v>126</v>
      </c>
      <c r="C113" s="174"/>
      <c r="D113" s="103"/>
      <c r="E113" s="103"/>
      <c r="F113" s="103"/>
      <c r="G113" s="103"/>
      <c r="H113" s="114"/>
      <c r="I113" s="114"/>
      <c r="J113" s="114"/>
      <c r="K113" s="114"/>
      <c r="L113" s="114"/>
      <c r="M113" s="114"/>
      <c r="N113" s="114"/>
      <c r="O113" s="114"/>
      <c r="P113" s="120">
        <f>P111+P112</f>
        <v>0</v>
      </c>
      <c r="Q113" s="120">
        <f>Q111+Q112</f>
        <v>0</v>
      </c>
      <c r="R113" s="7"/>
    </row>
    <row r="114" spans="2:18" s="4" customFormat="1" ht="20.100000000000001" customHeight="1" thickBot="1">
      <c r="B114" s="173" t="s">
        <v>191</v>
      </c>
      <c r="C114" s="174"/>
      <c r="D114" s="103"/>
      <c r="E114" s="103"/>
      <c r="F114" s="103"/>
      <c r="G114" s="103"/>
      <c r="H114" s="114"/>
      <c r="I114" s="114"/>
      <c r="J114" s="114"/>
      <c r="K114" s="114"/>
      <c r="L114" s="114"/>
      <c r="M114" s="114"/>
      <c r="N114" s="114"/>
      <c r="O114" s="114"/>
      <c r="P114" s="120">
        <f>+ROUND(P113*4%,0)</f>
        <v>0</v>
      </c>
      <c r="Q114" s="120">
        <f>+ROUND(Q113*4%,0)</f>
        <v>0</v>
      </c>
    </row>
    <row r="115" spans="2:18" s="4" customFormat="1" ht="20.100000000000001" customHeight="1" thickBot="1">
      <c r="B115" s="173" t="s">
        <v>96</v>
      </c>
      <c r="C115" s="174"/>
      <c r="D115" s="103"/>
      <c r="E115" s="103"/>
      <c r="F115" s="103"/>
      <c r="G115" s="103"/>
      <c r="H115" s="114"/>
      <c r="I115" s="114"/>
      <c r="J115" s="114"/>
      <c r="K115" s="114"/>
      <c r="L115" s="114"/>
      <c r="M115" s="114"/>
      <c r="N115" s="114"/>
      <c r="O115" s="114"/>
      <c r="P115" s="120">
        <f>+P114+P113</f>
        <v>0</v>
      </c>
      <c r="Q115" s="120">
        <f>+Q114+Q113</f>
        <v>0</v>
      </c>
    </row>
    <row r="116" spans="2:18" s="4" customFormat="1" ht="20.100000000000001" customHeight="1" thickBot="1">
      <c r="B116" s="173" t="s">
        <v>97</v>
      </c>
      <c r="C116" s="174"/>
      <c r="D116" s="103"/>
      <c r="E116" s="103"/>
      <c r="F116" s="103"/>
      <c r="G116" s="103"/>
      <c r="H116" s="114"/>
      <c r="I116" s="114"/>
      <c r="J116" s="114"/>
      <c r="K116" s="114"/>
      <c r="L116" s="114"/>
      <c r="M116" s="114"/>
      <c r="N116" s="114"/>
      <c r="O116" s="114"/>
      <c r="P116" s="120">
        <f>+P120</f>
        <v>0</v>
      </c>
      <c r="Q116" s="120">
        <f>+P120</f>
        <v>0</v>
      </c>
    </row>
    <row r="117" spans="2:18" s="4" customFormat="1" ht="20.100000000000001" customHeight="1" thickBot="1">
      <c r="B117" s="173" t="s">
        <v>98</v>
      </c>
      <c r="C117" s="174"/>
      <c r="D117" s="126"/>
      <c r="E117" s="126"/>
      <c r="F117" s="126"/>
      <c r="G117" s="126"/>
      <c r="H117" s="127"/>
      <c r="I117" s="127"/>
      <c r="J117" s="127"/>
      <c r="K117" s="127"/>
      <c r="L117" s="127"/>
      <c r="M117" s="127"/>
      <c r="N117" s="127"/>
      <c r="O117" s="127"/>
      <c r="P117" s="120">
        <f>+P115-P116</f>
        <v>0</v>
      </c>
      <c r="Q117" s="120">
        <f>+Q115-Q116</f>
        <v>0</v>
      </c>
    </row>
    <row r="118" spans="2:18" s="4" customFormat="1" ht="20.100000000000001" customHeight="1" thickBot="1">
      <c r="B118" s="146"/>
      <c r="C118" s="147"/>
      <c r="D118" s="129"/>
      <c r="E118" s="129"/>
      <c r="F118" s="129"/>
      <c r="G118" s="129"/>
      <c r="H118" s="130"/>
      <c r="I118" s="130"/>
      <c r="J118" s="130"/>
      <c r="K118" s="130"/>
      <c r="L118" s="130"/>
      <c r="M118" s="130"/>
      <c r="N118" s="130"/>
      <c r="O118" s="130"/>
      <c r="P118" s="123"/>
    </row>
    <row r="119" spans="2:18" s="4" customFormat="1" ht="20.100000000000001" customHeight="1" thickBot="1">
      <c r="B119" s="64" t="s">
        <v>28</v>
      </c>
      <c r="C119" s="65"/>
      <c r="D119" s="107" t="s">
        <v>1</v>
      </c>
      <c r="E119" s="107" t="s">
        <v>2</v>
      </c>
      <c r="F119" s="107" t="s">
        <v>3</v>
      </c>
      <c r="G119" s="107" t="s">
        <v>4</v>
      </c>
      <c r="H119" s="107" t="s">
        <v>5</v>
      </c>
      <c r="I119" s="107" t="s">
        <v>6</v>
      </c>
      <c r="J119" s="107" t="s">
        <v>7</v>
      </c>
      <c r="K119" s="107" t="s">
        <v>8</v>
      </c>
      <c r="L119" s="107" t="s">
        <v>9</v>
      </c>
      <c r="M119" s="107" t="s">
        <v>10</v>
      </c>
      <c r="N119" s="107" t="s">
        <v>11</v>
      </c>
      <c r="O119" s="107" t="s">
        <v>12</v>
      </c>
      <c r="P119" s="131"/>
    </row>
    <row r="120" spans="2:18" s="4" customFormat="1" ht="20.100000000000001" customHeight="1">
      <c r="B120" s="66" t="s">
        <v>97</v>
      </c>
      <c r="C120" s="67"/>
      <c r="D120" s="44"/>
      <c r="E120" s="44"/>
      <c r="F120" s="46"/>
      <c r="G120" s="44"/>
      <c r="H120" s="44"/>
      <c r="I120" s="44"/>
      <c r="J120" s="44"/>
      <c r="K120" s="44"/>
      <c r="L120" s="44"/>
      <c r="M120" s="44"/>
      <c r="N120" s="44"/>
      <c r="O120" s="44"/>
      <c r="P120" s="120">
        <f t="shared" ref="P120:P132" si="14">SUM(D120:O120)</f>
        <v>0</v>
      </c>
    </row>
    <row r="121" spans="2:18" s="4" customFormat="1" ht="20.100000000000001" customHeight="1">
      <c r="B121" s="66" t="s">
        <v>21</v>
      </c>
      <c r="C121" s="67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118">
        <f t="shared" si="14"/>
        <v>0</v>
      </c>
    </row>
    <row r="122" spans="2:18" s="4" customFormat="1" ht="20.100000000000001" customHeight="1">
      <c r="B122" s="66" t="s">
        <v>30</v>
      </c>
      <c r="C122" s="67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118">
        <f t="shared" si="14"/>
        <v>0</v>
      </c>
    </row>
    <row r="123" spans="2:18" s="4" customFormat="1" ht="20.100000000000001" customHeight="1">
      <c r="B123" s="66" t="s">
        <v>181</v>
      </c>
      <c r="C123" s="67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118">
        <f>SUM(D123:O123)</f>
        <v>0</v>
      </c>
    </row>
    <row r="124" spans="2:18" s="4" customFormat="1" ht="20.100000000000001" customHeight="1">
      <c r="B124" s="66" t="s">
        <v>110</v>
      </c>
      <c r="C124" s="67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118">
        <f>SUM(D124:O124)</f>
        <v>0</v>
      </c>
    </row>
    <row r="125" spans="2:18" s="4" customFormat="1" ht="20.100000000000001" customHeight="1">
      <c r="B125" s="66" t="s">
        <v>63</v>
      </c>
      <c r="C125" s="67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118">
        <f t="shared" si="14"/>
        <v>0</v>
      </c>
    </row>
    <row r="126" spans="2:18" s="4" customFormat="1" ht="20.100000000000001" customHeight="1">
      <c r="B126" s="66" t="s">
        <v>65</v>
      </c>
      <c r="C126" s="67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118">
        <f t="shared" si="14"/>
        <v>0</v>
      </c>
    </row>
    <row r="127" spans="2:18" s="4" customFormat="1" ht="20.100000000000001" customHeight="1">
      <c r="B127" s="66" t="s">
        <v>66</v>
      </c>
      <c r="C127" s="67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118">
        <f t="shared" si="14"/>
        <v>0</v>
      </c>
    </row>
    <row r="128" spans="2:18" s="4" customFormat="1" ht="20.100000000000001" customHeight="1">
      <c r="B128" s="66" t="s">
        <v>99</v>
      </c>
      <c r="C128" s="67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118">
        <f>SUM(D128:O128)</f>
        <v>0</v>
      </c>
    </row>
    <row r="129" spans="2:16" s="4" customFormat="1" ht="20.100000000000001" customHeight="1">
      <c r="B129" s="66" t="s">
        <v>64</v>
      </c>
      <c r="C129" s="67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118">
        <f t="shared" si="14"/>
        <v>0</v>
      </c>
    </row>
    <row r="130" spans="2:16" s="4" customFormat="1" ht="20.100000000000001" customHeight="1">
      <c r="B130" s="66" t="s">
        <v>103</v>
      </c>
      <c r="C130" s="67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118">
        <f>SUM(D130:O130)</f>
        <v>0</v>
      </c>
    </row>
    <row r="131" spans="2:16" s="4" customFormat="1" ht="20.100000000000001" customHeight="1">
      <c r="B131" s="66" t="s">
        <v>112</v>
      </c>
      <c r="C131" s="67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118">
        <f>SUM(D131:O131)</f>
        <v>0</v>
      </c>
    </row>
    <row r="132" spans="2:16" s="4" customFormat="1" ht="20.100000000000001" customHeight="1" thickBot="1">
      <c r="B132" s="68" t="s">
        <v>36</v>
      </c>
      <c r="C132" s="69"/>
      <c r="D132" s="49">
        <f>D122</f>
        <v>0</v>
      </c>
      <c r="E132" s="49">
        <f t="shared" ref="E132:O132" si="15">E122</f>
        <v>0</v>
      </c>
      <c r="F132" s="49">
        <f t="shared" si="15"/>
        <v>0</v>
      </c>
      <c r="G132" s="49">
        <f t="shared" si="15"/>
        <v>0</v>
      </c>
      <c r="H132" s="49">
        <f t="shared" si="15"/>
        <v>0</v>
      </c>
      <c r="I132" s="49">
        <f t="shared" si="15"/>
        <v>0</v>
      </c>
      <c r="J132" s="49">
        <f t="shared" si="15"/>
        <v>0</v>
      </c>
      <c r="K132" s="49">
        <f t="shared" si="15"/>
        <v>0</v>
      </c>
      <c r="L132" s="49">
        <f t="shared" si="15"/>
        <v>0</v>
      </c>
      <c r="M132" s="49">
        <f t="shared" si="15"/>
        <v>0</v>
      </c>
      <c r="N132" s="49">
        <f t="shared" si="15"/>
        <v>0</v>
      </c>
      <c r="O132" s="49">
        <f t="shared" si="15"/>
        <v>0</v>
      </c>
      <c r="P132" s="119">
        <f t="shared" si="14"/>
        <v>0</v>
      </c>
    </row>
    <row r="133" spans="2:16" s="4" customFormat="1" ht="20.100000000000001" customHeight="1" thickBot="1">
      <c r="B133" s="109"/>
      <c r="C133" s="132"/>
      <c r="D133" s="132"/>
      <c r="E133" s="132"/>
      <c r="F133" s="132"/>
      <c r="G133" s="132"/>
      <c r="H133" s="133"/>
      <c r="I133" s="133"/>
      <c r="J133" s="133"/>
      <c r="K133" s="133"/>
      <c r="L133" s="133"/>
      <c r="M133" s="133"/>
      <c r="N133" s="133"/>
      <c r="O133" s="133"/>
      <c r="P133" s="134"/>
    </row>
    <row r="134" spans="2:16" s="4" customFormat="1" ht="20.100000000000001" customHeight="1" thickBot="1">
      <c r="B134" s="148" t="s">
        <v>100</v>
      </c>
      <c r="C134" s="149"/>
      <c r="D134" s="135">
        <f t="shared" ref="D134:O134" si="16">D39-SUM(D120:D131)</f>
        <v>0</v>
      </c>
      <c r="E134" s="135">
        <f t="shared" si="16"/>
        <v>0</v>
      </c>
      <c r="F134" s="135">
        <f t="shared" si="16"/>
        <v>0</v>
      </c>
      <c r="G134" s="135">
        <f t="shared" si="16"/>
        <v>0</v>
      </c>
      <c r="H134" s="135">
        <f t="shared" si="16"/>
        <v>0</v>
      </c>
      <c r="I134" s="135">
        <f t="shared" si="16"/>
        <v>0</v>
      </c>
      <c r="J134" s="135">
        <f t="shared" si="16"/>
        <v>0</v>
      </c>
      <c r="K134" s="135">
        <f t="shared" si="16"/>
        <v>0</v>
      </c>
      <c r="L134" s="135">
        <f t="shared" si="16"/>
        <v>0</v>
      </c>
      <c r="M134" s="135">
        <f t="shared" si="16"/>
        <v>0</v>
      </c>
      <c r="N134" s="135">
        <f t="shared" si="16"/>
        <v>0</v>
      </c>
      <c r="O134" s="135">
        <f t="shared" si="16"/>
        <v>0</v>
      </c>
      <c r="P134" s="136"/>
    </row>
    <row r="135" spans="2:16" s="4" customFormat="1" ht="20.100000000000001" customHeight="1" thickBot="1">
      <c r="B135" s="150" t="s">
        <v>101</v>
      </c>
      <c r="C135" s="151"/>
      <c r="D135" s="128">
        <f t="shared" ref="D135:O135" si="17">D134-SUM(D16,D19:D26)</f>
        <v>0</v>
      </c>
      <c r="E135" s="128">
        <f t="shared" si="17"/>
        <v>0</v>
      </c>
      <c r="F135" s="128">
        <f t="shared" si="17"/>
        <v>0</v>
      </c>
      <c r="G135" s="128">
        <f t="shared" si="17"/>
        <v>0</v>
      </c>
      <c r="H135" s="135">
        <f t="shared" si="17"/>
        <v>0</v>
      </c>
      <c r="I135" s="135">
        <f t="shared" si="17"/>
        <v>0</v>
      </c>
      <c r="J135" s="135">
        <f t="shared" si="17"/>
        <v>0</v>
      </c>
      <c r="K135" s="135">
        <f t="shared" si="17"/>
        <v>0</v>
      </c>
      <c r="L135" s="135">
        <f t="shared" si="17"/>
        <v>0</v>
      </c>
      <c r="M135" s="135">
        <f t="shared" si="17"/>
        <v>0</v>
      </c>
      <c r="N135" s="135">
        <f t="shared" si="17"/>
        <v>0</v>
      </c>
      <c r="O135" s="135">
        <f t="shared" si="17"/>
        <v>0</v>
      </c>
      <c r="P135" s="136"/>
    </row>
    <row r="136" spans="2:16" s="4" customFormat="1" ht="20.100000000000001" customHeight="1" thickBot="1">
      <c r="B136" s="137"/>
      <c r="C136" s="110"/>
      <c r="D136" s="110"/>
      <c r="E136" s="110"/>
      <c r="F136" s="110"/>
      <c r="G136" s="110"/>
      <c r="H136" s="138"/>
      <c r="I136" s="138"/>
      <c r="J136" s="138"/>
      <c r="K136" s="138"/>
      <c r="L136" s="138"/>
      <c r="M136" s="138"/>
      <c r="N136" s="138"/>
      <c r="O136" s="138"/>
      <c r="P136" s="136"/>
    </row>
    <row r="137" spans="2:16" s="4" customFormat="1" ht="20.100000000000001" customHeight="1" thickBot="1">
      <c r="B137" s="137"/>
      <c r="C137" s="110"/>
      <c r="D137" s="110"/>
      <c r="E137" s="110"/>
      <c r="F137" s="110"/>
      <c r="G137" s="110"/>
      <c r="H137" s="138"/>
      <c r="I137" s="138"/>
      <c r="J137" s="138"/>
      <c r="K137" s="202" t="s">
        <v>284</v>
      </c>
      <c r="L137" s="203"/>
      <c r="M137" s="203"/>
      <c r="N137" s="203"/>
      <c r="O137" s="204"/>
      <c r="P137" s="143">
        <f>P39+P132</f>
        <v>0</v>
      </c>
    </row>
    <row r="138" spans="2:16" s="4" customFormat="1" ht="20.100000000000001" customHeight="1" thickBot="1">
      <c r="B138" s="139"/>
      <c r="C138" s="140"/>
      <c r="D138" s="140"/>
      <c r="E138" s="140"/>
      <c r="F138" s="140"/>
      <c r="G138" s="140"/>
      <c r="H138" s="141"/>
      <c r="I138" s="141"/>
      <c r="J138" s="141"/>
      <c r="K138" s="141"/>
      <c r="L138" s="141"/>
      <c r="M138" s="141"/>
      <c r="N138" s="141"/>
      <c r="O138" s="141"/>
      <c r="P138" s="142"/>
    </row>
    <row r="139" spans="2:16" s="4" customFormat="1" ht="20.100000000000001" customHeight="1" thickBot="1">
      <c r="B139" s="70"/>
      <c r="C139" s="50"/>
      <c r="D139" s="50"/>
      <c r="E139" s="50"/>
      <c r="F139" s="50"/>
      <c r="G139" s="50"/>
      <c r="H139" s="23"/>
      <c r="I139" s="23"/>
      <c r="J139" s="23"/>
      <c r="K139" s="23"/>
      <c r="L139" s="23"/>
      <c r="M139" s="23"/>
      <c r="N139" s="23"/>
      <c r="O139" s="23"/>
      <c r="P139" s="23"/>
    </row>
    <row r="140" spans="2:16" s="4" customFormat="1" ht="20.100000000000001" customHeight="1" thickBot="1">
      <c r="B140" s="152" t="s">
        <v>116</v>
      </c>
      <c r="C140" s="153"/>
      <c r="D140" s="153"/>
      <c r="E140" s="153"/>
      <c r="F140" s="154"/>
      <c r="G140" s="50"/>
      <c r="H140" s="23"/>
      <c r="I140" s="23"/>
      <c r="J140" s="23"/>
      <c r="K140" s="23"/>
      <c r="L140" s="23"/>
      <c r="M140" s="23"/>
      <c r="N140" s="23"/>
      <c r="O140" s="23"/>
      <c r="P140" s="23"/>
    </row>
    <row r="141" spans="2:16" s="4" customFormat="1" ht="20.100000000000001" customHeight="1" thickBot="1">
      <c r="B141" s="51"/>
      <c r="C141" s="51"/>
      <c r="D141" s="52"/>
      <c r="E141" s="51"/>
      <c r="F141" s="51"/>
      <c r="G141" s="50"/>
      <c r="H141" s="23"/>
      <c r="I141" s="23"/>
      <c r="J141" s="23"/>
      <c r="K141" s="23"/>
      <c r="L141" s="23"/>
      <c r="M141" s="23"/>
      <c r="N141" s="23"/>
      <c r="O141" s="23"/>
      <c r="P141" s="23"/>
    </row>
    <row r="142" spans="2:16" s="4" customFormat="1" ht="20.100000000000001" customHeight="1" thickBot="1">
      <c r="B142" s="71" t="s">
        <v>37</v>
      </c>
      <c r="C142" s="128">
        <f>P115</f>
        <v>0</v>
      </c>
      <c r="D142" s="52"/>
      <c r="E142" s="51"/>
      <c r="F142" s="51"/>
      <c r="G142" s="50"/>
      <c r="H142" s="23"/>
      <c r="I142" s="23"/>
      <c r="J142" s="23"/>
      <c r="K142" s="23"/>
      <c r="L142" s="23"/>
      <c r="M142" s="23"/>
      <c r="N142" s="23"/>
      <c r="O142" s="23"/>
      <c r="P142" s="23"/>
    </row>
    <row r="143" spans="2:16" s="4" customFormat="1" ht="20.100000000000001" customHeight="1" thickBot="1">
      <c r="B143" s="51"/>
      <c r="C143" s="51"/>
      <c r="D143" s="52"/>
      <c r="E143" s="51"/>
      <c r="F143" s="51"/>
      <c r="G143" s="50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2:16" s="4" customFormat="1" ht="20.100000000000001" customHeight="1" thickBot="1">
      <c r="B144" s="144" t="s">
        <v>38</v>
      </c>
      <c r="C144" s="144" t="s">
        <v>39</v>
      </c>
      <c r="D144" s="145" t="s">
        <v>92</v>
      </c>
      <c r="E144" s="144" t="s">
        <v>93</v>
      </c>
      <c r="F144" s="144" t="s">
        <v>94</v>
      </c>
      <c r="G144" s="50"/>
      <c r="H144" s="23"/>
      <c r="I144" s="23"/>
      <c r="J144" s="23"/>
      <c r="K144" s="23"/>
      <c r="L144" s="23"/>
      <c r="M144" s="23"/>
      <c r="N144" s="23"/>
      <c r="O144" s="23"/>
      <c r="P144" s="23"/>
    </row>
    <row r="145" spans="2:21" s="4" customFormat="1" ht="20.100000000000001" customHeight="1" thickBot="1">
      <c r="B145" s="60" t="s">
        <v>196</v>
      </c>
      <c r="C145" s="53">
        <f>15%</f>
        <v>0.15</v>
      </c>
      <c r="D145" s="128">
        <f>$C$142*C145</f>
        <v>0</v>
      </c>
      <c r="E145" s="128">
        <f>SUM(D120:E120)</f>
        <v>0</v>
      </c>
      <c r="F145" s="128">
        <f>+D145-E145</f>
        <v>0</v>
      </c>
      <c r="G145" s="50"/>
      <c r="H145" s="23"/>
      <c r="I145" s="23"/>
      <c r="J145" s="23"/>
      <c r="K145" s="23"/>
      <c r="L145" s="23"/>
      <c r="M145" s="23"/>
      <c r="N145" s="23"/>
      <c r="O145" s="23"/>
      <c r="P145" s="23"/>
    </row>
    <row r="146" spans="2:21" s="4" customFormat="1" ht="20.100000000000001" customHeight="1" thickBot="1">
      <c r="B146" s="60" t="s">
        <v>175</v>
      </c>
      <c r="C146" s="53">
        <v>0.45</v>
      </c>
      <c r="D146" s="128">
        <f>$C$142*C146</f>
        <v>0</v>
      </c>
      <c r="E146" s="128">
        <f>SUM(D120:H120)</f>
        <v>0</v>
      </c>
      <c r="F146" s="128">
        <f>+D146-E146</f>
        <v>0</v>
      </c>
      <c r="G146" s="50"/>
      <c r="H146" s="23"/>
      <c r="I146" s="23"/>
      <c r="J146" s="23"/>
      <c r="K146" s="23"/>
      <c r="L146" s="23"/>
      <c r="M146" s="23"/>
      <c r="N146" s="23"/>
      <c r="O146" s="23"/>
      <c r="P146" s="23"/>
    </row>
    <row r="147" spans="2:21" s="4" customFormat="1" ht="20.100000000000001" customHeight="1" thickBot="1">
      <c r="B147" s="60" t="s">
        <v>176</v>
      </c>
      <c r="C147" s="53">
        <v>0.75</v>
      </c>
      <c r="D147" s="128">
        <f>$C$142*C147</f>
        <v>0</v>
      </c>
      <c r="E147" s="128">
        <f>SUM(D120:K120)</f>
        <v>0</v>
      </c>
      <c r="F147" s="128">
        <f>+D147-E147</f>
        <v>0</v>
      </c>
      <c r="G147" s="50"/>
      <c r="H147" s="23"/>
      <c r="I147" s="23"/>
      <c r="J147" s="23"/>
      <c r="K147" s="23"/>
      <c r="L147" s="23"/>
      <c r="M147" s="23"/>
      <c r="N147" s="23"/>
      <c r="O147" s="23"/>
      <c r="P147" s="23"/>
    </row>
    <row r="148" spans="2:21" s="4" customFormat="1" ht="20.100000000000001" customHeight="1" thickBot="1">
      <c r="B148" s="72" t="s">
        <v>177</v>
      </c>
      <c r="C148" s="54">
        <v>1</v>
      </c>
      <c r="D148" s="128">
        <f>$C$142*C148</f>
        <v>0</v>
      </c>
      <c r="E148" s="128">
        <f>SUM(D120:O120)</f>
        <v>0</v>
      </c>
      <c r="F148" s="128">
        <f>+D148-E148</f>
        <v>0</v>
      </c>
      <c r="G148" s="50"/>
      <c r="H148" s="23"/>
      <c r="I148" s="23"/>
      <c r="J148" s="23"/>
      <c r="K148" s="23"/>
      <c r="L148" s="23"/>
      <c r="M148" s="23"/>
      <c r="N148" s="23"/>
      <c r="O148" s="23"/>
      <c r="P148" s="23"/>
    </row>
    <row r="149" spans="2:21" s="11" customFormat="1" ht="20.100000000000001" customHeight="1">
      <c r="B149" s="8"/>
      <c r="C149" s="8"/>
      <c r="D149" s="9"/>
      <c r="E149" s="8"/>
      <c r="F149" s="8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21" s="11" customFormat="1" ht="20.100000000000001" customHeight="1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2:21" s="11" customFormat="1" ht="20.100000000000001" hidden="1" customHeight="1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2:21" s="11" customFormat="1" ht="20.100000000000001" hidden="1" customHeight="1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2:21" s="11" customFormat="1" ht="18" hidden="1" customHeight="1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2:21" s="11" customFormat="1" ht="18" hidden="1" customHeight="1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2:21" s="11" customFormat="1" ht="18" hidden="1" customHeight="1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2:21" s="11" customFormat="1" ht="18" hidden="1" customHeight="1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2:21" s="11" customFormat="1" ht="18" hidden="1" customHeight="1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2:21" s="11" customFormat="1" ht="18" hidden="1" customHeight="1">
      <c r="B158" s="11" t="s">
        <v>47</v>
      </c>
      <c r="C158" s="10" t="s">
        <v>50</v>
      </c>
      <c r="D158" s="10" t="s">
        <v>51</v>
      </c>
      <c r="E158" s="10"/>
      <c r="F158" s="10"/>
      <c r="G158" s="10" t="s">
        <v>84</v>
      </c>
      <c r="H158" s="10" t="s">
        <v>192</v>
      </c>
      <c r="I158" s="10"/>
      <c r="J158" s="10" t="s">
        <v>171</v>
      </c>
      <c r="K158" s="10"/>
      <c r="L158" s="10" t="s">
        <v>86</v>
      </c>
      <c r="M158" s="10"/>
      <c r="N158" s="10"/>
      <c r="O158" s="10" t="s">
        <v>88</v>
      </c>
      <c r="P158" s="10"/>
      <c r="R158" s="11" t="s">
        <v>296</v>
      </c>
      <c r="U158" s="11" t="s">
        <v>128</v>
      </c>
    </row>
    <row r="159" spans="2:21" s="11" customFormat="1" ht="18" hidden="1" customHeight="1">
      <c r="B159" s="11" t="s">
        <v>46</v>
      </c>
      <c r="C159" s="10" t="s">
        <v>49</v>
      </c>
      <c r="D159" s="10" t="s">
        <v>52</v>
      </c>
      <c r="E159" s="10"/>
      <c r="F159" s="10"/>
      <c r="G159" s="10" t="s">
        <v>85</v>
      </c>
      <c r="H159" s="10" t="s">
        <v>193</v>
      </c>
      <c r="I159" s="10"/>
      <c r="J159" s="10" t="s">
        <v>172</v>
      </c>
      <c r="K159" s="10"/>
      <c r="L159" s="10" t="s">
        <v>87</v>
      </c>
      <c r="M159" s="10"/>
      <c r="N159" s="10"/>
      <c r="O159" s="10" t="s">
        <v>90</v>
      </c>
      <c r="P159" s="10"/>
      <c r="R159" s="11" t="s">
        <v>297</v>
      </c>
      <c r="U159" s="11" t="s">
        <v>129</v>
      </c>
    </row>
    <row r="160" spans="2:21" ht="18" hidden="1" customHeight="1">
      <c r="D160" s="3"/>
      <c r="O160" s="10" t="s">
        <v>89</v>
      </c>
    </row>
    <row r="161" spans="2:20" ht="18" hidden="1" customHeight="1">
      <c r="D161" s="3"/>
    </row>
    <row r="162" spans="2:20" ht="18" hidden="1" customHeight="1"/>
    <row r="163" spans="2:20" ht="18" hidden="1" customHeight="1"/>
    <row r="164" spans="2:20" ht="18" hidden="1" customHeight="1">
      <c r="C164" s="1" t="s">
        <v>106</v>
      </c>
      <c r="D164" s="1" t="s">
        <v>107</v>
      </c>
      <c r="E164" s="1" t="s">
        <v>108</v>
      </c>
      <c r="F164" s="1">
        <f>+IF(C4&gt;=80,IF(P107&gt;800000,60000+0.3*(P107-800000),IF(P107&gt;500000,0.2*(P107-500000),0)),
IF(C4&gt;=60,IF(P107&gt;800000,85000+0.3*(P107-800000),IF(P107&gt;500000,25000+0.2*(P107-500000),IF(P107&gt;250000,0.1*(P107-250000),0))),
IF(C2=B158,IF(P107&gt;800000,92000+0.3*(P107-800000),IF(P107&gt;500000,32000+0.2*(P107-500000),IF(P107&gt;180000,0.1*(P107-180000),0))),
IF(C2=B159,IF(P107&gt;800000,91000+0.3*(P107-800000),IF(P107&gt;500000,31000+0.2*(P107-500000),IF(P107&gt;190000,0.1*(P107-190000),0)))))))</f>
        <v>0</v>
      </c>
    </row>
    <row r="165" spans="2:20" ht="18" hidden="1" customHeight="1">
      <c r="B165" s="2" t="s">
        <v>104</v>
      </c>
      <c r="C165" s="1">
        <f>IF((P107-P34)&gt;800000,60000+0.3*(P107-P34-800000)+P34*15%,IF((P107-P34)&gt;500000,0.2*(P107-P34-500000)+P34*15%,IF((P107)&gt;500000,0.15*(P107-500000),0)))</f>
        <v>0</v>
      </c>
      <c r="D165" s="1">
        <f>IF(P107&gt;800000,60000+0.3*(P107-800000),IF(P107&gt;500000,0.2*(P107-500000),0))</f>
        <v>0</v>
      </c>
      <c r="E165" s="1">
        <f>IF((P107-P34)&gt;800000,60000+0.3*((P107-P34)-800000),IF((P107-P34)&gt;500000,0.2*((P107-P34)-500000),0))</f>
        <v>0</v>
      </c>
    </row>
    <row r="166" spans="2:20" ht="18" hidden="1" customHeight="1">
      <c r="B166" s="2" t="s">
        <v>105</v>
      </c>
      <c r="C166" s="1">
        <f>IF((P107-P34)&gt;800000,85000+0.3*(P107-P34-800000)+P34*15%,IF((P107-P34)&gt;500000,25000+0.2*(P107-P34-500000)+P34*15%,IF((P107-P34)&gt;250000,0.1*(P107-P34-250000)+P34*15%,IF(P107&gt;250000,0.15*(P107-250000),0))))</f>
        <v>0</v>
      </c>
      <c r="D166" s="1">
        <f>IF(P107&gt;800000,85000+0.3*(P107-800000),IF(P107&gt;500000,25000+0.2*(P107-500000),IF(P107&gt;250000,0.1*(P107-250000),0)))</f>
        <v>0</v>
      </c>
      <c r="E166" s="1">
        <f>IF((P107-P34)&gt;800000,85000+0.3*((P107-P34)-800000),IF((P107-P34)&gt;500000,25000+0.2*((P107-P34)-500000),IF((P107-P34)&gt;250000,0.1*((P107-P34)-250000),0)))</f>
        <v>0</v>
      </c>
    </row>
    <row r="167" spans="2:20" ht="18" hidden="1" customHeight="1">
      <c r="B167" s="2" t="s">
        <v>47</v>
      </c>
      <c r="C167" s="1">
        <f>IF((P107-P34)&gt;800000,92000+0.3*(P107-P34-800000)+P34*15%,IF((P107-P34)&gt;500000,32000+0.2*(P107-P34-500000)+P34*15%,IF((P107-P34)&gt;180000,0.1*(P107-P34-180000)+P34*15%,IF(P107&gt;180000,0.15*(P107-180000),0))))</f>
        <v>0</v>
      </c>
      <c r="D167" s="1">
        <f>IF(P107&gt;800000,92000+0.3*(P107-800000),IF(P107&gt;500000,32000+0.2*(P107-500000),IF(P107&gt;180000,0.1*(P107-180000),0)))</f>
        <v>0</v>
      </c>
      <c r="E167" s="1">
        <f>IF((P107-P34)&gt;800000,92000+0.3*((P107-P34)-800000),IF((P107-P34)&gt;500000,32000+0.2*((P107-P34)-500000),IF((P107-P34)&gt;180000,0.1*((P107-P34)-180000),0)))</f>
        <v>0</v>
      </c>
    </row>
    <row r="168" spans="2:20" ht="18" hidden="1" customHeight="1">
      <c r="B168" s="2" t="s">
        <v>46</v>
      </c>
      <c r="C168" s="1">
        <f>IF((P107-P34)&gt;800000,91000+0.3*(P107-P34-800000)+P34*15%,IF((P107-P34)&gt;500000,31000+0.2*(P107-P34-500000)+P34*15%,IF((P107-P34)&gt;190000,0.1*(P107-P34-190000)+P34*15%,IF(P107&gt;190000,0.15*(P107-190000),0))))</f>
        <v>0</v>
      </c>
      <c r="D168" s="1">
        <f>IF(P107&gt;800000,91000+0.3*(P107-800000),IF(P107&gt;500000,31000+0.2*(P107-500000),IF(P107&gt;190000,0.1*(P107-190000),0)))</f>
        <v>0</v>
      </c>
      <c r="E168" s="1">
        <f>IF((P107-P34)&gt;800000,91000+0.3*((P107-P34)-800000),IF((P107-P34)&gt;500000,31000+0.2*((P107-P34)-500000),IF((P107-P34)&gt;190000,0.1*((P107-P34)-190000),0)))</f>
        <v>0</v>
      </c>
    </row>
    <row r="169" spans="2:20" ht="18" hidden="1" customHeight="1"/>
    <row r="170" spans="2:20" ht="18" hidden="1" customHeight="1">
      <c r="B170" s="26" t="s">
        <v>130</v>
      </c>
      <c r="C170" s="1">
        <f>IF(C4&gt;=80, D171, IF(C4&gt;=60,D172, IF(C2=B159, D173, D174)))</f>
        <v>0</v>
      </c>
      <c r="E170" s="88" t="s">
        <v>138</v>
      </c>
      <c r="F170" s="89" t="s">
        <v>287</v>
      </c>
      <c r="G170" s="89" t="s">
        <v>139</v>
      </c>
      <c r="H170" s="89" t="s">
        <v>288</v>
      </c>
      <c r="I170" s="89" t="s">
        <v>289</v>
      </c>
      <c r="J170" s="89" t="s">
        <v>182</v>
      </c>
      <c r="K170" s="90" t="s">
        <v>140</v>
      </c>
      <c r="L170" s="90" t="s">
        <v>292</v>
      </c>
      <c r="M170" s="90" t="s">
        <v>141</v>
      </c>
      <c r="N170" s="90" t="s">
        <v>291</v>
      </c>
      <c r="O170" s="89" t="s">
        <v>290</v>
      </c>
      <c r="P170" s="88" t="s">
        <v>183</v>
      </c>
      <c r="Q170" s="88" t="s">
        <v>106</v>
      </c>
      <c r="R170" s="3" t="s">
        <v>136</v>
      </c>
      <c r="S170" t="s">
        <v>137</v>
      </c>
      <c r="T170" t="s">
        <v>146</v>
      </c>
    </row>
    <row r="171" spans="2:20" ht="18" hidden="1" customHeight="1">
      <c r="B171" s="24" t="s">
        <v>104</v>
      </c>
      <c r="C171" s="1">
        <v>500000</v>
      </c>
      <c r="D171" s="1">
        <f>SUM(K171:T171)</f>
        <v>0</v>
      </c>
      <c r="E171" s="1">
        <f>IF(($Q$107-$M$187-SUM($P$33,$P$34,$P$37,$P$38,MAX($P$36-$P$63,0)))&gt;0,($Q$107-$M$187-SUM($P$33,$P$34,$P$37,$P$38,MAX($P$36-$P$63,0))),0)</f>
        <v>0</v>
      </c>
      <c r="F171" s="1">
        <f>IF(($Q$107-$M$186-E171-SUM($P$33,$P$34,$P$37,$P$38,MAX($P$36-$P$63,0)))&gt;0,($Q$107-$M$186-E171-SUM($P$33,$P$34,$P$37,$P$38,MAX($P$36-$P$63,0))),0)</f>
        <v>0</v>
      </c>
      <c r="G171" s="1">
        <f>IF(($Q$107-$M$185-E171-F171-SUM($P$33,$P$34,$P$37,$P$38,MAX($P$36-$P$63,0)))&gt;0,($Q$107-$M$185-E171-F171-SUM($P$33,$P$34,$P$37,$P$38,MAX($P$36-$P$63,0))),0)</f>
        <v>0</v>
      </c>
      <c r="H171" s="86">
        <f>IF(($Q$107-$M$184-E171-F171-G171-SUM($P$33,$P$34,$P$37,$P$38,MAX($P$36-$P$63,0)))&gt;0,($Q$107-$M$184-E171-F171-G171-SUM($P$33,$P$34,$P$37,$P$38,MAX($P$36-$P$63,0))),0)</f>
        <v>0</v>
      </c>
      <c r="I171" s="1">
        <f>IF(($Q$107-$M$183-E171-F171-G171-H171-SUM($P$33,$P$34,$P$37,$P$38,MAX($P$36-$P$63,0)))&gt;0,($Q$107-$M$183-E171-F171-G171-H171-SUM($P$33,$P$34,$P$37,$P$38,MAX($P$36-$P$63,0))),0)</f>
        <v>0</v>
      </c>
      <c r="J171" s="1">
        <f>IF(($Q$107-C171-E171-F171-G171-H171-I171-SUM($P$33,$P$34,$P$37,$P$38,MAX($P$36-$P$63,0)))&gt;0,($Q$107-C171-E171-F171-G171-H171-I171-SUM($P$33,$P$34,$P$37,$P$38,MAX($P$36-$P$63,0))),0)</f>
        <v>0</v>
      </c>
      <c r="K171" s="1">
        <f>E171*$N$187%</f>
        <v>0</v>
      </c>
      <c r="L171" s="1">
        <f>F171*$N$186%</f>
        <v>0</v>
      </c>
      <c r="M171" s="1">
        <f>G171*$N$185%</f>
        <v>0</v>
      </c>
      <c r="N171" s="1">
        <f>H171*$N$184%</f>
        <v>0</v>
      </c>
      <c r="O171" s="1">
        <f>I171*$N$183%</f>
        <v>0</v>
      </c>
      <c r="P171" s="1">
        <f>J171*$N$182%</f>
        <v>0</v>
      </c>
      <c r="Q171" s="1">
        <f>IF(($Q$107-C171)&gt;0,IF($P$34&lt;($Q$107-C171-$P$37),$P$34*$E$185%,MAX(($Q$107-C171-$P$37),0)*$E$185%),0)</f>
        <v>0</v>
      </c>
      <c r="R171" s="1">
        <f>IF(($Q$107-C171)&gt;0,IF($P$38&lt;($Q$107-C171-$P$34-$P$37),$P$38*$E$186%,MAX(($Q$107-C171-$P$34-$P$37),0)*$E$186%),0)</f>
        <v>0</v>
      </c>
      <c r="S171" s="1">
        <f>IF(($Q$107-C171)&gt;0,IF(($P$37+MAX($P$36-$P$63,0))&lt;($Q$107-C171),($P$37+MAX($P$36-$P$63,0))*$E$187%,($Q$107-C171)*$E$187%),0)</f>
        <v>0</v>
      </c>
      <c r="T171" s="1">
        <f>$P$33*30%</f>
        <v>0</v>
      </c>
    </row>
    <row r="172" spans="2:20" ht="18" hidden="1" customHeight="1">
      <c r="B172" s="2" t="s">
        <v>105</v>
      </c>
      <c r="C172" s="1">
        <v>300000</v>
      </c>
      <c r="D172" s="1">
        <f>SUM(K172:T172)</f>
        <v>0</v>
      </c>
      <c r="E172" s="1">
        <f>IF(($Q$107-$M$187-SUM($P$33,$P$34,$P$37,$P$38,MAX($P$36-$P$63,0)))&gt;0,($Q$107-$M$187-SUM($P$33,$P$34,$P$37,$P$38,MAX($P$36-$P$63,0))),0)</f>
        <v>0</v>
      </c>
      <c r="F172" s="1">
        <f>IF(($Q$107-$M$186-E172-SUM($P$33,$P$34,$P$37,$P$38,MAX($P$36-$P$63,0)))&gt;0,($Q$107-$M$186-E172-SUM($P$33,$P$34,$P$37,$P$38,MAX($P$36-$P$63,0))),0)</f>
        <v>0</v>
      </c>
      <c r="G172" s="1">
        <f>IF(($Q$107-$M$185-E172-F172-SUM($P$33,$P$34,$P$37,$P$38,MAX($P$36-$P$63,0)))&gt;0,($Q$107-$M$185-E172-F172-SUM($P$33,$P$34,$P$37,$P$38,MAX($P$36-$P$63,0))),0)</f>
        <v>0</v>
      </c>
      <c r="H172" s="86">
        <f>IF(($Q$107-$M$184-E172-F172-G172-SUM($P$33,$P$34,$P$37,$P$38,MAX($P$36-$P$63,0)))&gt;0,($Q$107-$M$184-E172-F172-G172-SUM($P$33,$P$34,$P$37,$P$38,MAX($P$36-$P$63,0))),0)</f>
        <v>0</v>
      </c>
      <c r="I172" s="1">
        <f>IF(($Q$107-$M$183-E172-F172-G172-H172-SUM($P$33,$P$34,$P$37,$P$38,MAX($P$36-$P$63,0)))&gt;0,($Q$107-$M$183-E172-F172-G172-H172-SUM($P$33,$P$34,$P$37,$P$38,MAX($P$36-$P$63,0))),0)</f>
        <v>0</v>
      </c>
      <c r="J172" s="1">
        <f>IF(($Q$107-C172-E172-F172-G172-H172-I172-SUM($P$33,$P$34,$P$37,$P$38,MAX($P$36-$P$63,0)))&gt;0,($Q$107-C172-E172-F172-G172-H172-I172-SUM($P$33,$P$34,$P$37,$P$38,MAX($P$36-$P$63,0))),0)</f>
        <v>0</v>
      </c>
      <c r="K172" s="1">
        <f>E172*$N$187%</f>
        <v>0</v>
      </c>
      <c r="L172" s="1">
        <f>F172*$N$186%</f>
        <v>0</v>
      </c>
      <c r="M172" s="1">
        <f>G172*$N$185%</f>
        <v>0</v>
      </c>
      <c r="N172" s="1">
        <f>H172*$N$184%</f>
        <v>0</v>
      </c>
      <c r="O172" s="1">
        <f>I172*$N$183%</f>
        <v>0</v>
      </c>
      <c r="P172" s="1">
        <f>J172*$N$182%</f>
        <v>0</v>
      </c>
      <c r="Q172" s="1">
        <f>IF(($Q$107-C172)&gt;0,IF($P$34&lt;($Q$107-C172-$P$37),$P$34*$E$185%,MAX(($Q$107-C172-$P$37),0)*$E$185%),0)</f>
        <v>0</v>
      </c>
      <c r="R172" s="1">
        <f>IF(($Q$107-C172)&gt;0,IF($P$38&lt;($Q$107-C172-$P$34-$P$37),$P$38*$E$186%,MAX(($Q$107-C172-$P$34-$P$37),0)*$E$186%),0)</f>
        <v>0</v>
      </c>
      <c r="S172" s="1">
        <f>IF(($Q$107-C172)&gt;0,IF(($P$37+MAX($P$36-$P$63,0))&lt;($Q$107-C172),($P$37+MAX($P$36-$P$63,0))*$E$187%,($Q$107-C172)*$E$187%),0)</f>
        <v>0</v>
      </c>
      <c r="T172" s="1">
        <f>$P$33*30%</f>
        <v>0</v>
      </c>
    </row>
    <row r="173" spans="2:20" ht="18" hidden="1" customHeight="1">
      <c r="B173" s="26" t="s">
        <v>46</v>
      </c>
      <c r="C173" s="1">
        <v>250000</v>
      </c>
      <c r="D173" s="1">
        <f>SUM(K173:T173)</f>
        <v>0</v>
      </c>
      <c r="E173" s="1">
        <f>IF(($Q$107-$M$187-SUM($P$33,$P$34,$P$37,$P$38,MAX($P$36-$P$63,0)))&gt;0,($Q$107-$M$187-SUM($P$33,$P$34,$P$37,$P$38,MAX($P$36-$P$63,0))),0)</f>
        <v>0</v>
      </c>
      <c r="F173" s="1">
        <f>IF(($Q$107-$M$186-E173-SUM($P$33,$P$34,$P$37,$P$38,MAX($P$36-$P$63,0)))&gt;0,($Q$107-$M$186-E173-SUM($P$33,$P$34,$P$37,$P$38,MAX($P$36-$P$63,0))),0)</f>
        <v>0</v>
      </c>
      <c r="G173" s="1">
        <f>IF(($Q$107-$M$185-E173-F173-SUM($P$33,$P$34,$P$37,$P$38,MAX($P$36-$P$63,0)))&gt;0,($Q$107-$M$185-E173-F173-SUM($P$33,$P$34,$P$37,$P$38,MAX($P$36-$P$63,0))),0)</f>
        <v>0</v>
      </c>
      <c r="H173" s="86">
        <f>IF(($Q$107-$M$184-E173-F173-G173-SUM($P$33,$P$34,$P$37,$P$38,MAX($P$36-$P$63,0)))&gt;0,($Q$107-$M$184-E173-F173-G173-SUM($P$33,$P$34,$P$37,$P$38,MAX($P$36-$P$63,0))),0)</f>
        <v>0</v>
      </c>
      <c r="I173" s="1">
        <f>IF(($Q$107-$M$183-E173-F173-G173-H173-SUM($P$33,$P$34,$P$37,$P$38,MAX($P$36-$P$63,0)))&gt;0,($Q$107-$M$183-E173-F173-G173-H173-SUM($P$33,$P$34,$P$37,$P$38,MAX($P$36-$P$63,0))),0)</f>
        <v>0</v>
      </c>
      <c r="J173" s="1">
        <f>IF(($Q$107-C173-E173-F173-G173-H173-I173-SUM($P$33,$P$34,$P$37,$P$38,MAX($P$36-$P$63,0)))&gt;0,($Q$107-C173-E173-F173-G173-H173-I173-SUM($P$33,$P$34,$P$37,$P$38,MAX($P$36-$P$63,0))),0)</f>
        <v>0</v>
      </c>
      <c r="K173" s="1">
        <f>E173*$N$187%</f>
        <v>0</v>
      </c>
      <c r="L173" s="1">
        <f>F173*$N$186%</f>
        <v>0</v>
      </c>
      <c r="M173" s="1">
        <f>G173*$N$185%</f>
        <v>0</v>
      </c>
      <c r="N173" s="1">
        <f>H173*$N$184%</f>
        <v>0</v>
      </c>
      <c r="O173" s="1">
        <f>I173*$N$183%</f>
        <v>0</v>
      </c>
      <c r="P173" s="1">
        <f>J173*$N$182%</f>
        <v>0</v>
      </c>
      <c r="Q173" s="1">
        <f>IF(($Q$107-C173)&gt;0,IF($P$34&lt;($Q$107-C173-$P$37),$P$34*$E$185%,MAX(($Q$107-C173-$P$37),0)*$E$185%),0)</f>
        <v>0</v>
      </c>
      <c r="R173" s="1">
        <f>IF(($Q$107-C173)&gt;0,IF($P$38&lt;($Q$107-C173-$P$34-$P$37),$P$38*$E$186%,MAX(($Q$107-C173-$P$34-$P$37),0)*$E$186%),0)</f>
        <v>0</v>
      </c>
      <c r="S173" s="1">
        <f>IF(($Q$107-C173)&gt;0,IF(($P$37+MAX($P$36-$P$63,0))&lt;($Q$107-C173),($P$37+MAX($P$36-$P$63,0))*$E$187%,($Q$107-C173)*$E$187%),0)</f>
        <v>0</v>
      </c>
      <c r="T173" s="1">
        <f>$P$33*30%</f>
        <v>0</v>
      </c>
    </row>
    <row r="174" spans="2:20" ht="18" hidden="1" customHeight="1">
      <c r="B174" s="26" t="s">
        <v>47</v>
      </c>
      <c r="C174" s="1">
        <v>250000</v>
      </c>
      <c r="D174" s="1">
        <f>SUM(K174:T174)</f>
        <v>0</v>
      </c>
      <c r="E174" s="1">
        <f>IF(($Q$107-$M$187-SUM($P$33,$P$34,$P$37,$P$38,MAX($P$36-$P$63,0)))&gt;0,($Q$107-$M$187-SUM($P$33,$P$34,$P$37,$P$38,MAX($P$36-$P$63,0))),0)</f>
        <v>0</v>
      </c>
      <c r="F174" s="1">
        <f>IF(($Q$107-$M$186-E174-SUM($P$33,$P$34,$P$37,$P$38,MAX($P$36-$P$63,0)))&gt;0,($Q$107-$M$186-E174-SUM($P$33,$P$34,$P$37,$P$38,MAX($P$36-$P$63,0))),0)</f>
        <v>0</v>
      </c>
      <c r="G174" s="1">
        <f>IF(($Q$107-$M$185-E174-F174-SUM($P$33,$P$34,$P$37,$P$38,MAX($P$36-$P$63,0)))&gt;0,($Q$107-$M$185-E174-F174-SUM($P$33,$P$34,$P$37,$P$38,MAX($P$36-$P$63,0))),0)</f>
        <v>0</v>
      </c>
      <c r="H174" s="86">
        <f>IF(($Q$107-$M$184-E174-F174-G174-SUM($P$33,$P$34,$P$37,$P$38,MAX($P$36-$P$63,0)))&gt;0,($Q$107-$M$184-E174-F174-G174-SUM($P$33,$P$34,$P$37,$P$38,MAX($P$36-$P$63,0))),0)</f>
        <v>0</v>
      </c>
      <c r="I174" s="1">
        <f>IF(($Q$107-$M$183-E174-F174-G174-H174-SUM($P$33,$P$34,$P$37,$P$38,MAX($P$36-$P$63,0)))&gt;0,($Q$107-$M$183-E174-F174-G174-H174-SUM($P$33,$P$34,$P$37,$P$38,MAX($P$36-$P$63,0))),0)</f>
        <v>0</v>
      </c>
      <c r="J174" s="1">
        <f>IF(($Q$107-C174-E174-F174-G174-H174-I174-SUM($P$33,$P$34,$P$37,$P$38,MAX($P$36-$P$63,0)))&gt;0,($Q$107-C174-E174-F174-G174-H174-I174-SUM($P$33,$P$34,$P$37,$P$38,MAX($P$36-$P$63,0))),0)</f>
        <v>0</v>
      </c>
      <c r="K174" s="1">
        <f>E174*$N$187%</f>
        <v>0</v>
      </c>
      <c r="L174" s="1">
        <f>F174*$N$186%</f>
        <v>0</v>
      </c>
      <c r="M174" s="1">
        <f>G174*$N$185%</f>
        <v>0</v>
      </c>
      <c r="N174" s="1">
        <f>H174*$N$184%</f>
        <v>0</v>
      </c>
      <c r="O174" s="1">
        <f>I174*$N$183%</f>
        <v>0</v>
      </c>
      <c r="P174" s="1">
        <f>J174*$N$182%</f>
        <v>0</v>
      </c>
      <c r="Q174" s="1">
        <f>IF(($Q$107-C174)&gt;0,IF($P$34&lt;($Q$107-C174-$P$37),$P$34*$E$185%,MAX(($Q$107-C174-$P$37),0)*$E$185%),0)</f>
        <v>0</v>
      </c>
      <c r="R174" s="1">
        <f>IF(($Q$107-C174)&gt;0,IF($P$38&lt;($Q$107-C174-$P$34-$P$37),$P$38*$E$186%,MAX(($Q$107-C174-$P$34-$P$37),0)*$E$186%),0)</f>
        <v>0</v>
      </c>
      <c r="S174" s="1">
        <f>IF(($Q$107-C174)&gt;0,IF(($P$37+MAX($P$36-$P$63,0))&lt;($Q$107-C174),($P$37+MAX($P$36-$P$63,0))*$E$187%,($Q$107-C174)*$E$187%),0)</f>
        <v>0</v>
      </c>
      <c r="T174" s="1">
        <f>$P$33*30%</f>
        <v>0</v>
      </c>
    </row>
    <row r="175" spans="2:20" ht="18" hidden="1" customHeight="1"/>
    <row r="176" spans="2:20" ht="18" hidden="1" customHeight="1">
      <c r="B176" s="26" t="s">
        <v>130</v>
      </c>
      <c r="C176" s="1">
        <f>IF(C4&gt;=80, D177, IF(C4&gt;=60,D178, IF(C2=B159, D179, D180)))</f>
        <v>0</v>
      </c>
      <c r="E176" s="88" t="s">
        <v>138</v>
      </c>
      <c r="F176" s="88" t="s">
        <v>139</v>
      </c>
      <c r="G176" s="88" t="s">
        <v>182</v>
      </c>
      <c r="H176" s="88" t="s">
        <v>140</v>
      </c>
      <c r="I176" s="88" t="s">
        <v>141</v>
      </c>
      <c r="J176" s="88" t="s">
        <v>183</v>
      </c>
      <c r="K176" s="88" t="s">
        <v>106</v>
      </c>
      <c r="L176" s="3" t="s">
        <v>136</v>
      </c>
      <c r="M176" t="s">
        <v>137</v>
      </c>
      <c r="N176" t="s">
        <v>146</v>
      </c>
      <c r="O176" s="3"/>
      <c r="P176" s="3"/>
    </row>
    <row r="177" spans="2:16" ht="18" hidden="1" customHeight="1">
      <c r="B177" s="24" t="s">
        <v>104</v>
      </c>
      <c r="C177" s="1">
        <v>500000</v>
      </c>
      <c r="D177" s="25">
        <f>SUM(H177:N177)</f>
        <v>0</v>
      </c>
      <c r="E177" s="1">
        <f>IF(($P$107-$D$184-SUM($P$33,$P$34,$P$37,$P$38,MAX($P$36-$P$63,0)))&gt;0,($P$107-$D$184-SUM($P$33,$P$34,$P$37,$P$38,MAX($P$36-$P$63,0))),0)</f>
        <v>0</v>
      </c>
      <c r="F177" s="1">
        <f>IF(($P$107-$D$183-E177-SUM($P$33,$P$34,$P$37,$P$38,MAX($P$36-$P$63,0)))&gt;0,($P$107-$D$183-E177-SUM($P$33,$P$34,$P$37,$P$38,MAX($P$36-$P$63,0))),0)</f>
        <v>0</v>
      </c>
      <c r="G177" s="1">
        <f>IF(($P$107-C177-E177-F177-SUM($P$33,$P$34,$P$37,$P$38,MAX($P$36-$P$63,0)))&gt;0,($P$107-C177-E177-F177-SUM($P$33,$P$34,$P$37,$P$38,MAX($P$36-$P$63,0))),0)</f>
        <v>0</v>
      </c>
      <c r="H177" s="1">
        <f>E177*$E$184%</f>
        <v>0</v>
      </c>
      <c r="I177" s="1">
        <f>F177*$E$183%</f>
        <v>0</v>
      </c>
      <c r="J177" s="1">
        <f>G177*$E$182%</f>
        <v>0</v>
      </c>
      <c r="K177" s="1">
        <f>IF(($P$107-C177)&gt;0,IF($P$34&lt;($P$107-C177-$P$37),$P$34*$E$185%,MAX(($P$107-C177-$P$37),0)*$E$185%),0)</f>
        <v>0</v>
      </c>
      <c r="L177" s="1">
        <f>IF(($P$107-C177)&gt;0,IF($P$38&lt;($P$107-C177-$P$34-$P$37),$P$38*$E$186%,MAX(($P$107-C177-$P$34-$P$37),0)*$E$186%),0)</f>
        <v>0</v>
      </c>
      <c r="M177" s="1">
        <f>IF(($P$107-C177)&gt;0,IF(($P$37+MAX($P$36-$P$63,0))&lt;($P$107-C177),($P$37+MAX($P$36-$P$63,0))*$E$187%,($P$107-C177)*$E$187%),0)</f>
        <v>0</v>
      </c>
      <c r="N177" s="1">
        <f>$P$33*30%</f>
        <v>0</v>
      </c>
    </row>
    <row r="178" spans="2:16" ht="18" hidden="1" customHeight="1">
      <c r="B178" s="2" t="s">
        <v>105</v>
      </c>
      <c r="C178" s="1">
        <v>300000</v>
      </c>
      <c r="D178" s="25">
        <f>SUM(H178:N178)</f>
        <v>0</v>
      </c>
      <c r="E178" s="1">
        <f>IF(($P$107-$D$184-SUM($P$33,$P$34,$P$37,$P$38,MAX($P$36-$P$63,0)))&gt;0,($P$107-$D$184-SUM($P$33,$P$34,$P$37,$P$38,MAX($P$36-$P$63,0))),0)</f>
        <v>0</v>
      </c>
      <c r="F178" s="1">
        <f>IF(($P$107-$D$183-E178-SUM($P$33,$P$34,$P$37,$P$38,MAX($P$36-$P$63,0)))&gt;0,($P$107-$D$183-E178-SUM($P$33,$P$34,$P$37,$P$38,MAX($P$36-$P$63,0))),0)</f>
        <v>0</v>
      </c>
      <c r="G178" s="1">
        <f>IF(($P$107-C178-E178-F178-SUM($P$33,$P$34,$P$37,$P$38,MAX($P$36-$P$63,0)))&gt;0,($P$107-C178-E178-F178-SUM($P$33,$P$34,$P$37,$P$38,MAX($P$36-$P$63,0))),0)</f>
        <v>0</v>
      </c>
      <c r="H178" s="1">
        <f>E178*$E$184%</f>
        <v>0</v>
      </c>
      <c r="I178" s="1">
        <f>F178*$E$183%</f>
        <v>0</v>
      </c>
      <c r="J178" s="1">
        <f>G178*$E$182%</f>
        <v>0</v>
      </c>
      <c r="K178" s="1">
        <f>IF(($P$107-C178)&gt;0,IF($P$34&lt;($P$107-C178-$P$37),$P$34*$E$185%,MAX(($P$107-C178-$P$37),0)*$E$185%),0)</f>
        <v>0</v>
      </c>
      <c r="L178" s="1">
        <f>IF(($P$107-C178)&gt;0,IF($P$38&lt;($P$107-C178-$P$34-$P$37),$P$38*$E$186%,MAX(($P$107-C178-$P$34-$P$37),0)*$E$186%),0)</f>
        <v>0</v>
      </c>
      <c r="M178" s="1">
        <f>IF(($P$107-C178)&gt;0,IF(($P$37+MAX($P$36-$P$63,0))&lt;($P$107-C178),($P$37+MAX($P$36-$P$63,0))*$E$187%,($P$107-C178)*$E$187%),0)</f>
        <v>0</v>
      </c>
      <c r="N178" s="1">
        <f>$P$33*30%</f>
        <v>0</v>
      </c>
    </row>
    <row r="179" spans="2:16" ht="18" hidden="1" customHeight="1">
      <c r="B179" s="26" t="s">
        <v>46</v>
      </c>
      <c r="C179" s="1">
        <v>250000</v>
      </c>
      <c r="D179" s="25">
        <f>SUM(H179:N179)</f>
        <v>0</v>
      </c>
      <c r="E179" s="1">
        <f>IF(($P$107-$D$184-SUM($P$33,$P$34,$P$37,$P$38,MAX($P$36-$P$63,0)))&gt;0,($P$107-$D$184-SUM($P$33,$P$34,$P$37,$P$38,MAX($P$36-$P$63,0))),0)</f>
        <v>0</v>
      </c>
      <c r="F179" s="1">
        <f>IF(($P$107-$D$183-E179-SUM($P$33,$P$34,$P$37,$P$38,MAX($P$36-$P$63,0)))&gt;0,($P$107-$D$183-E179-SUM($P$33,$P$34,$P$37,$P$38,MAX($P$36-$P$63,0))),0)</f>
        <v>0</v>
      </c>
      <c r="G179" s="1">
        <f>IF(($P$107-C179-E179-F179-SUM($P$33,$P$34,$P$37,$P$38,MAX($P$36-$P$63,0)))&gt;0,($P$107-C179-E179-F179-SUM($P$33,$P$34,$P$37,$P$38,MAX($P$36-$P$63,0))),0)</f>
        <v>0</v>
      </c>
      <c r="H179" s="1">
        <f>E179*$E$184%</f>
        <v>0</v>
      </c>
      <c r="I179" s="1">
        <f>F179*$E$183%</f>
        <v>0</v>
      </c>
      <c r="J179" s="1">
        <f>G179*$E$182%</f>
        <v>0</v>
      </c>
      <c r="K179" s="1">
        <f>IF(($P$107-C179)&gt;0,IF($P$34&lt;($P$107-C179-$P$37),$P$34*$E$185%,MAX(($P$107-C179-$P$37),0)*$E$185%),0)</f>
        <v>0</v>
      </c>
      <c r="L179" s="1">
        <f>IF(($P$107-C179)&gt;0,IF($P$38&lt;($P$107-C179-$P$34-$P$37),$P$38*$E$186%,MAX(($P$107-C179-$P$34-$P$37),0)*$E$186%),0)</f>
        <v>0</v>
      </c>
      <c r="M179" s="1">
        <f>IF(($P$107-C179)&gt;0,IF(($P$37+MAX($P$36-$P$63,0))&lt;($P$107-C179),($P$37+MAX($P$36-$P$63,0))*$E$187%,($P$107-C179)*$E$187%),0)</f>
        <v>0</v>
      </c>
      <c r="N179" s="1">
        <f>$P$33*30%</f>
        <v>0</v>
      </c>
    </row>
    <row r="180" spans="2:16" ht="18" hidden="1" customHeight="1">
      <c r="B180" s="26" t="s">
        <v>47</v>
      </c>
      <c r="C180" s="1">
        <v>250000</v>
      </c>
      <c r="D180" s="25">
        <f>SUM(H180:N180)</f>
        <v>0</v>
      </c>
      <c r="E180" s="1">
        <f>IF(($P$107-$D$184-SUM($P$33,$P$34,$P$37,$P$38,MAX($P$36-$P$63,0)))&gt;0,($P$107-$D$184-SUM($P$33,$P$34,$P$37,$P$38,MAX($P$36-$P$63,0))),0)</f>
        <v>0</v>
      </c>
      <c r="F180" s="1">
        <f>IF(($P$107-$D$183-E180-SUM($P$33,$P$34,$P$37,$P$38,MAX($P$36-$P$63,0)))&gt;0,($P$107-$D$183-E180-SUM($P$33,$P$34,$P$37,$P$38,MAX($P$36-$P$63,0))),0)</f>
        <v>0</v>
      </c>
      <c r="G180" s="1">
        <f>IF(($P$107-C180-E180-F180-SUM($P$33,$P$34,$P$37,$P$38,MAX($P$36-$P$63,0)))&gt;0,($P$107-C180-E180-F180-SUM($P$33,$P$34,$P$37,$P$38,MAX($P$36-$P$63,0))),0)</f>
        <v>0</v>
      </c>
      <c r="H180" s="1">
        <f>E180*$E$184%</f>
        <v>0</v>
      </c>
      <c r="I180" s="1">
        <f>F180*$E$183%</f>
        <v>0</v>
      </c>
      <c r="J180" s="1">
        <f>G180*$E$182%</f>
        <v>0</v>
      </c>
      <c r="K180" s="1">
        <f>IF(($P$107-C180)&gt;0,IF($P$34&lt;($P$107-C180-$P$37),$P$34*$E$185%,MAX(($P$107-C180-$P$37),0)*$E$185%),0)</f>
        <v>0</v>
      </c>
      <c r="L180" s="1">
        <f>IF(($P$107-C180)&gt;0,IF($P$38&lt;($P$107-C180-$P$34-$P$37),$P$38*$E$186%,MAX(($P$107-C180-$P$34-$P$37),0)*$E$186%),0)</f>
        <v>0</v>
      </c>
      <c r="M180" s="1">
        <f>IF(($P$107-C180)&gt;0,IF(($P$37+MAX($P$36-$P$63,0))&lt;($P$107-C180),($P$37+MAX($P$36-$P$63,0))*$E$187%,($P$107-C180)*$E$187%),0)</f>
        <v>0</v>
      </c>
      <c r="N180" s="1">
        <f>$P$33*30%</f>
        <v>0</v>
      </c>
    </row>
    <row r="181" spans="2:16" ht="18" hidden="1" customHeight="1"/>
    <row r="182" spans="2:16" ht="18" hidden="1" customHeight="1">
      <c r="D182" s="1">
        <v>250000</v>
      </c>
      <c r="E182" s="1">
        <v>5</v>
      </c>
      <c r="M182" s="1">
        <v>250000</v>
      </c>
      <c r="N182" s="1">
        <v>5</v>
      </c>
      <c r="O182" s="1">
        <f t="shared" ref="O182:O187" si="18">(M182-M181)*N181%</f>
        <v>0</v>
      </c>
    </row>
    <row r="183" spans="2:16" ht="18" hidden="1" customHeight="1">
      <c r="D183" s="1">
        <v>500000</v>
      </c>
      <c r="E183" s="1">
        <v>20</v>
      </c>
      <c r="M183" s="1">
        <v>500000</v>
      </c>
      <c r="N183" s="1">
        <v>10</v>
      </c>
      <c r="O183" s="1">
        <f t="shared" si="18"/>
        <v>12500</v>
      </c>
    </row>
    <row r="184" spans="2:16" ht="18" hidden="1" customHeight="1">
      <c r="D184" s="1">
        <v>1000000</v>
      </c>
      <c r="E184" s="1">
        <v>30</v>
      </c>
      <c r="M184" s="1">
        <v>750000</v>
      </c>
      <c r="N184" s="1">
        <v>15</v>
      </c>
      <c r="O184" s="1">
        <f t="shared" si="18"/>
        <v>25000</v>
      </c>
    </row>
    <row r="185" spans="2:16" ht="18" hidden="1" customHeight="1">
      <c r="D185" s="3" t="s">
        <v>106</v>
      </c>
      <c r="E185" s="1">
        <v>15</v>
      </c>
      <c r="M185" s="1">
        <v>1000000</v>
      </c>
      <c r="N185" s="1">
        <v>20</v>
      </c>
      <c r="O185" s="1">
        <f t="shared" si="18"/>
        <v>37500</v>
      </c>
    </row>
    <row r="186" spans="2:16" ht="18" hidden="1" customHeight="1">
      <c r="D186" s="3" t="s">
        <v>136</v>
      </c>
      <c r="E186" s="1">
        <v>20</v>
      </c>
      <c r="M186" s="1">
        <v>1250000</v>
      </c>
      <c r="N186" s="1">
        <v>25</v>
      </c>
      <c r="O186" s="1">
        <f t="shared" si="18"/>
        <v>50000</v>
      </c>
    </row>
    <row r="187" spans="2:16" ht="18" hidden="1" customHeight="1">
      <c r="D187" s="3" t="s">
        <v>137</v>
      </c>
      <c r="E187" s="1">
        <v>10</v>
      </c>
      <c r="M187" s="1">
        <v>1500000</v>
      </c>
      <c r="N187" s="1">
        <v>30</v>
      </c>
      <c r="O187" s="1">
        <f t="shared" si="18"/>
        <v>62500</v>
      </c>
    </row>
    <row r="188" spans="2:16" ht="18" hidden="1" customHeight="1">
      <c r="B188" s="91"/>
      <c r="D188" s="1" t="s">
        <v>186</v>
      </c>
      <c r="E188" s="1">
        <f>IF(P105&gt;10000000, C176*15%,0)</f>
        <v>0</v>
      </c>
      <c r="F188" s="1" t="s">
        <v>187</v>
      </c>
      <c r="G188" s="1">
        <f>IF(P105&gt;5000000, MIN(C176,I190)*10%,0)</f>
        <v>0</v>
      </c>
      <c r="M188" s="1">
        <f>IF(Q105&gt;10000000, C170*15%,0)</f>
        <v>0</v>
      </c>
      <c r="N188" s="1">
        <f>IF(Q105&gt;5000000, MIN(C170,O190)*10%,0)</f>
        <v>0</v>
      </c>
      <c r="O188" s="1">
        <f>(5000000-M187)*N187%</f>
        <v>1050000</v>
      </c>
    </row>
    <row r="189" spans="2:16" ht="18" hidden="1" customHeight="1">
      <c r="D189" s="1" t="s">
        <v>131</v>
      </c>
      <c r="E189" s="1">
        <f>E188+C176</f>
        <v>0</v>
      </c>
      <c r="F189" s="1" t="s">
        <v>131</v>
      </c>
      <c r="G189" s="1">
        <f>G188+C176</f>
        <v>0</v>
      </c>
      <c r="H189" s="1" t="s">
        <v>184</v>
      </c>
      <c r="I189" s="1" t="s">
        <v>185</v>
      </c>
      <c r="J189" s="1" t="s">
        <v>190</v>
      </c>
      <c r="M189" s="1">
        <f>M188+C170</f>
        <v>0</v>
      </c>
    </row>
    <row r="190" spans="2:16" ht="18" hidden="1" customHeight="1">
      <c r="D190" s="1" t="s">
        <v>132</v>
      </c>
      <c r="E190" s="1">
        <f>(I190+J190-(P34+P37+P38)*30%)+P105-10000000+SUM(K180:M180)</f>
        <v>-6906250</v>
      </c>
      <c r="F190" s="1" t="s">
        <v>132</v>
      </c>
      <c r="G190" s="1">
        <f>(H190-(P34+P37+P38)*30%)+P105-5000000+SUM(K180:M180)</f>
        <v>-3687500</v>
      </c>
      <c r="H190" s="1">
        <f>IF(C4&gt;=80, 1300000, IF(C4&gt;=60,1310000, IF(C2=B159, 1312500, 1312500)))</f>
        <v>1312500</v>
      </c>
      <c r="I190" s="1">
        <f>IF(C4&gt;=80, 2800000, IF(C4&gt;=60,2810000, IF(C2=B159, 2812500, 2812500)))</f>
        <v>2812500</v>
      </c>
      <c r="J190" s="1">
        <f>I190*10%</f>
        <v>281250</v>
      </c>
      <c r="M190" s="1">
        <f>(N191+O191-(P34+P37+P38)*30%)+Q105-10000000+SUM(Q174:S174)</f>
        <v>-6988750</v>
      </c>
      <c r="N190" s="1">
        <f>IF(C4&gt;=80, 1225000, IF(C4&gt;=60,1235000, IF(C2=B159, 1237500, 1237500)))</f>
        <v>1237500</v>
      </c>
      <c r="O190" s="1">
        <f>(N190-(P34+P37+P38)*30%)+Q105-5000000+SUM(Q174:S174)</f>
        <v>-3762500</v>
      </c>
    </row>
    <row r="191" spans="2:16" ht="18" hidden="1" customHeight="1">
      <c r="D191" s="1" t="s">
        <v>188</v>
      </c>
      <c r="E191" s="1">
        <f>IF(E188&gt;0, IF(AND(E189&gt;E190,E190&gt;0),E189-E190,0), 0)</f>
        <v>0</v>
      </c>
      <c r="F191" s="1" t="s">
        <v>188</v>
      </c>
      <c r="G191" s="1">
        <f>IF(G189&gt;G190,G189-G190,0)</f>
        <v>3687500</v>
      </c>
      <c r="M191" s="1">
        <f>IF(M188&gt;0, IF(AND(M189&gt;M190,M190&gt;0),M189-M190,0), 0)</f>
        <v>0</v>
      </c>
      <c r="N191" s="1">
        <f>IF(C4&gt;=80, 2725000, IF(C4&gt;=60,2735000, IF(C2=B159, 2737500, 2737500)))</f>
        <v>2737500</v>
      </c>
      <c r="O191" s="1">
        <f>N191*10%</f>
        <v>273750</v>
      </c>
      <c r="P191" s="1">
        <f>IF(M189&gt;O190,M189-O190,0)</f>
        <v>3762500</v>
      </c>
    </row>
    <row r="192" spans="2:16" ht="18" hidden="1" customHeight="1">
      <c r="D192" s="1" t="s">
        <v>189</v>
      </c>
      <c r="E192" s="1">
        <f>MAX(E188-E191,0)</f>
        <v>0</v>
      </c>
      <c r="F192" s="1" t="s">
        <v>189</v>
      </c>
      <c r="G192" s="1">
        <f>MAX(G188-G191,0)</f>
        <v>0</v>
      </c>
    </row>
    <row r="193" spans="3:14" ht="18" hidden="1" customHeight="1">
      <c r="M193" s="1" t="s">
        <v>188</v>
      </c>
      <c r="N193" s="1">
        <f>IF(M188&gt;0, IF(AND(M189&gt;M190,M190&gt;0),M189-M190,0), 0)</f>
        <v>0</v>
      </c>
    </row>
    <row r="194" spans="3:14" ht="18" hidden="1" customHeight="1">
      <c r="M194" s="1" t="s">
        <v>189</v>
      </c>
      <c r="N194" s="1">
        <f>MAX(M188-M191,0)</f>
        <v>0</v>
      </c>
    </row>
    <row r="195" spans="3:14" ht="18" hidden="1" customHeight="1">
      <c r="D195" s="1" t="s">
        <v>147</v>
      </c>
      <c r="E195" s="1">
        <f>IF(P69-P33&lt;P33,P33,P69-P33)</f>
        <v>0</v>
      </c>
      <c r="M195" s="87" t="s">
        <v>189</v>
      </c>
      <c r="N195" s="1">
        <f>MAX(N188-P191,0)</f>
        <v>0</v>
      </c>
    </row>
    <row r="196" spans="3:14" ht="18" hidden="1" customHeight="1">
      <c r="D196" s="1" t="s">
        <v>148</v>
      </c>
      <c r="E196" s="1">
        <f>E195-P34-P37-P38</f>
        <v>0</v>
      </c>
      <c r="J196" s="1">
        <v>225000</v>
      </c>
    </row>
    <row r="197" spans="3:14" ht="18" hidden="1" customHeight="1">
      <c r="D197" s="1" t="s">
        <v>149</v>
      </c>
      <c r="E197" s="1">
        <f>IF(E196&lt;P33,P33,E196)</f>
        <v>0</v>
      </c>
      <c r="J197" s="1">
        <f>I190+J190+E188-E189</f>
        <v>3093750</v>
      </c>
    </row>
    <row r="198" spans="3:14" ht="18" hidden="1" customHeight="1">
      <c r="D198" s="1" t="s">
        <v>150</v>
      </c>
      <c r="E198" s="1">
        <f>SUM(P88:P101)</f>
        <v>0</v>
      </c>
    </row>
    <row r="199" spans="3:14" ht="18" hidden="1" customHeight="1">
      <c r="D199" s="1" t="s">
        <v>151</v>
      </c>
      <c r="E199" s="1">
        <f>IF(E197&gt;E198,E195-E198,E195-E197)</f>
        <v>0</v>
      </c>
    </row>
    <row r="200" spans="3:14" ht="18" hidden="1" customHeight="1">
      <c r="C200" s="1" t="s">
        <v>157</v>
      </c>
    </row>
    <row r="201" spans="3:14" ht="18" hidden="1" customHeight="1">
      <c r="D201" s="1" t="s">
        <v>152</v>
      </c>
      <c r="E201" s="1">
        <f>E195-P33-MIN(P37+P38 + P31+P32, E195 - P33)</f>
        <v>0</v>
      </c>
    </row>
    <row r="202" spans="3:14" ht="18" hidden="1" customHeight="1">
      <c r="D202" s="1" t="s">
        <v>153</v>
      </c>
      <c r="E202" s="1">
        <f>MAX(E199-E203,0)</f>
        <v>0</v>
      </c>
    </row>
    <row r="203" spans="3:14" ht="18" hidden="1" customHeight="1">
      <c r="D203" s="1" t="s">
        <v>154</v>
      </c>
      <c r="E203" s="1">
        <f>IF(C4&gt;=80, C177, IF(C4&gt;=60,C178, IF(C2=B159, C179, C180)))</f>
        <v>250000</v>
      </c>
    </row>
    <row r="204" spans="3:14" ht="18" hidden="1" customHeight="1">
      <c r="D204" s="1" t="s">
        <v>155</v>
      </c>
      <c r="E204" s="1">
        <f>P37+P38</f>
        <v>0</v>
      </c>
    </row>
    <row r="205" spans="3:14" ht="18" hidden="1" customHeight="1">
      <c r="D205" s="1" t="s">
        <v>156</v>
      </c>
      <c r="E205" s="1">
        <f>MIN(E201,P34,E202)</f>
        <v>0</v>
      </c>
      <c r="F205" s="1">
        <f>ROUND(E205*15%,0)</f>
        <v>0</v>
      </c>
    </row>
    <row r="206" spans="3:14" ht="18" hidden="1" customHeight="1">
      <c r="D206" s="1" t="s">
        <v>149</v>
      </c>
      <c r="E206" s="1">
        <f>MIN(E202,P37+P38,E195-P33)</f>
        <v>0</v>
      </c>
    </row>
    <row r="207" spans="3:14" ht="18" hidden="1" customHeight="1">
      <c r="D207" s="1" t="s">
        <v>137</v>
      </c>
      <c r="E207" s="1">
        <f>MIN(E206,P37)</f>
        <v>0</v>
      </c>
      <c r="F207" s="1">
        <f>ROUND(E207*10%,0)</f>
        <v>0</v>
      </c>
    </row>
    <row r="208" spans="3:14" ht="18" hidden="1" customHeight="1">
      <c r="D208" s="1" t="s">
        <v>136</v>
      </c>
      <c r="E208" s="1">
        <f>E206-E207</f>
        <v>0</v>
      </c>
      <c r="F208" s="1">
        <f>ROUND(E208*20%,0)</f>
        <v>0</v>
      </c>
    </row>
    <row r="209" spans="4:10" ht="18" hidden="1" customHeight="1">
      <c r="D209" s="1" t="s">
        <v>158</v>
      </c>
      <c r="E209" s="1">
        <f>P33</f>
        <v>0</v>
      </c>
      <c r="F209" s="1">
        <f>ROUND(E209*30%,0)</f>
        <v>0</v>
      </c>
    </row>
    <row r="210" spans="4:10" ht="18" hidden="1" customHeight="1"/>
    <row r="211" spans="4:10" ht="18" hidden="1" customHeight="1">
      <c r="D211" s="1" t="s">
        <v>151</v>
      </c>
      <c r="E211" s="1">
        <f>IF(AND(E199&gt;E203,P29&gt;5000),E199+P29,E199)</f>
        <v>0</v>
      </c>
    </row>
    <row r="212" spans="4:10" ht="18" hidden="1" customHeight="1">
      <c r="D212" s="1" t="s">
        <v>151</v>
      </c>
      <c r="E212" s="1">
        <f>MAX(E211-MIN(P34,E201)+P37+P38+P33,0)</f>
        <v>0</v>
      </c>
    </row>
    <row r="213" spans="4:10" ht="18" hidden="1" customHeight="1">
      <c r="D213" s="1" t="s">
        <v>159</v>
      </c>
      <c r="E213" s="1">
        <f>MAX(E199-MIN(P34,E201)+P37+P38+P33,0)</f>
        <v>0</v>
      </c>
    </row>
    <row r="214" spans="4:10" ht="18" hidden="1" customHeight="1">
      <c r="D214" s="1" t="s">
        <v>160</v>
      </c>
      <c r="E214" s="1">
        <f>P33+P34+P37+P38</f>
        <v>0</v>
      </c>
    </row>
    <row r="215" spans="4:10" ht="18" hidden="1" customHeight="1">
      <c r="D215" s="1" t="s">
        <v>161</v>
      </c>
      <c r="E215" s="1">
        <f>E203+P29</f>
        <v>250000</v>
      </c>
      <c r="G215" s="1" t="s">
        <v>167</v>
      </c>
      <c r="H215" s="1" t="s">
        <v>168</v>
      </c>
      <c r="I215" s="1" t="s">
        <v>169</v>
      </c>
      <c r="J215" s="1" t="s">
        <v>131</v>
      </c>
    </row>
    <row r="216" spans="4:10" ht="18" hidden="1" customHeight="1">
      <c r="D216" s="1" t="s">
        <v>162</v>
      </c>
      <c r="E216" s="1">
        <f>IF(E212&lt;=C178,0,IF(E212&lt;=D183,(E212-C178)*10%,IF(E212&lt;=D184,(E212-D183)*20%+20000,(E212-D184)*30%+120000)))</f>
        <v>0</v>
      </c>
      <c r="F216" s="1">
        <f>IF(E215&lt;=C178,0,IF(E215&lt;=D183,(E215-C178)*10%,IF(E215&lt;=D184,(E215-D183)*20%+25000,(E215-D184)*30%+125000)))</f>
        <v>0</v>
      </c>
      <c r="G216" s="1">
        <f>ROUND(MAX(E216-F216,0),0)</f>
        <v>0</v>
      </c>
      <c r="H216" s="1">
        <f>G216+F205+F207+F208+F209</f>
        <v>0</v>
      </c>
      <c r="I216" s="1">
        <f>IF($E$212&lt;=500000,MAX(H216-2000,0),H216)</f>
        <v>0</v>
      </c>
    </row>
    <row r="217" spans="4:10" ht="18" hidden="1" customHeight="1">
      <c r="D217" s="1" t="s">
        <v>163</v>
      </c>
      <c r="E217" s="1">
        <f>IF(E212&lt;=C177,0,IF(E212&lt;=D184,(E212-D183)*20%,(E212-D184)*30%+100000))</f>
        <v>0</v>
      </c>
      <c r="F217" s="1">
        <f>IF(E215&lt;=C177,0,IF(E215&lt;=D184,(E215-D183)*20%,(E215-D184)*30%+100000))</f>
        <v>0</v>
      </c>
      <c r="G217" s="1">
        <f>ROUND(MAX(E217-F217,0),0)</f>
        <v>0</v>
      </c>
      <c r="H217" s="1">
        <f>G217+F205+F207+F208+F209</f>
        <v>0</v>
      </c>
      <c r="I217" s="1">
        <f>IF($E$212&lt;=500000,MAX(H217-2000,0),H217)</f>
        <v>0</v>
      </c>
    </row>
    <row r="218" spans="4:10" ht="18" hidden="1" customHeight="1">
      <c r="D218" s="1" t="s">
        <v>165</v>
      </c>
      <c r="E218" s="1">
        <f>IF(E212&lt;=C179,0,IF(E212&lt;=D183,(E212-C179)*10%,IF(E212&lt;=D184,(E212-D183)*20%+25000,(E212-D184)*30%+125000)))</f>
        <v>0</v>
      </c>
      <c r="F218" s="1">
        <f>IF(E215&lt;=C179,0,IF(E215&lt;=D183,(E215-C179)*10%,IF(E215&lt;=D184,(E215-D183)*20%+30000,(E215-D184)*30%+130000)))</f>
        <v>0</v>
      </c>
      <c r="G218" s="1">
        <f>ROUND(MAX(E218-F218,0),0)</f>
        <v>0</v>
      </c>
      <c r="H218" s="1">
        <f>G218+F205+F207+F208+F209</f>
        <v>0</v>
      </c>
      <c r="I218" s="1">
        <f>IF($E$212&lt;=500000,MAX(H218-2000,0),H218)</f>
        <v>0</v>
      </c>
    </row>
    <row r="219" spans="4:10" ht="18" hidden="1" customHeight="1">
      <c r="D219" s="1" t="s">
        <v>164</v>
      </c>
      <c r="E219" s="1">
        <f>IF(E212&lt;=C179,0,IF(E212&lt;=D183,(E212-C179)*10%,IF(E212&lt;=D184,(E212-D183)*20%+25000,(E212-D184)*30%+125000)))</f>
        <v>0</v>
      </c>
      <c r="F219" s="1">
        <f>IF(E215&lt;=C179,0,IF(E215&lt;=D183,(E215-C179)*10%,IF(E215&lt;=D184,(E215-D183)*20%+30000,(E215-D184)*30%+130000)))</f>
        <v>0</v>
      </c>
      <c r="G219" s="1">
        <f>ROUND(MAX(E219-F219,0),0)</f>
        <v>0</v>
      </c>
      <c r="H219" s="1">
        <f>G219+F205+F207+F208+F209</f>
        <v>0</v>
      </c>
      <c r="I219" s="1">
        <f>IF($E$212&lt;=500000,MAX(H219-2000,0),H219)</f>
        <v>0</v>
      </c>
    </row>
    <row r="220" spans="4:10" ht="18" hidden="1" customHeight="1">
      <c r="D220" s="1" t="s">
        <v>166</v>
      </c>
      <c r="E220" s="1">
        <f>F205+SUM(F207:F209)</f>
        <v>0</v>
      </c>
    </row>
    <row r="221" spans="4:10" ht="18" hidden="1" customHeight="1">
      <c r="D221" s="1" t="s">
        <v>170</v>
      </c>
      <c r="E221" s="1">
        <f>IF(C4&gt;=80, I217, IF(C4&gt;=60,I216, IF(C2=B159, I218, I219)))</f>
        <v>0</v>
      </c>
    </row>
    <row r="223" spans="4:10" ht="18" customHeight="1">
      <c r="I223" s="27"/>
    </row>
    <row r="224" spans="4:10" ht="18" customHeight="1">
      <c r="I224" s="32" t="str">
        <f>IF(AND(P111-E221&gt;10,P111-E221&lt;-10),"ERROR","Success")</f>
        <v>Success</v>
      </c>
    </row>
  </sheetData>
  <sheetProtection password="CE14" sheet="1" objects="1" scenarios="1"/>
  <mergeCells count="87">
    <mergeCell ref="I6:I7"/>
    <mergeCell ref="J6:J7"/>
    <mergeCell ref="L6:L7"/>
    <mergeCell ref="M6:M7"/>
    <mergeCell ref="O6:O7"/>
    <mergeCell ref="K137:O137"/>
    <mergeCell ref="P6:P7"/>
    <mergeCell ref="B39:C39"/>
    <mergeCell ref="B89:C89"/>
    <mergeCell ref="K6:K7"/>
    <mergeCell ref="N6:N7"/>
    <mergeCell ref="F6:F7"/>
    <mergeCell ref="B106:C106"/>
    <mergeCell ref="B8:C8"/>
    <mergeCell ref="B9:C9"/>
    <mergeCell ref="D93:E93"/>
    <mergeCell ref="D6:D7"/>
    <mergeCell ref="E6:E7"/>
    <mergeCell ref="G6:G7"/>
    <mergeCell ref="H6:H7"/>
    <mergeCell ref="B14:C14"/>
    <mergeCell ref="B32:C32"/>
    <mergeCell ref="B33:C33"/>
    <mergeCell ref="B22:C22"/>
    <mergeCell ref="B23:C23"/>
    <mergeCell ref="B24:C24"/>
    <mergeCell ref="B25:C25"/>
    <mergeCell ref="B26:C26"/>
    <mergeCell ref="B27:C27"/>
    <mergeCell ref="B6:C7"/>
    <mergeCell ref="B28:C28"/>
    <mergeCell ref="B29:C29"/>
    <mergeCell ref="B30:C30"/>
    <mergeCell ref="B31:C31"/>
    <mergeCell ref="B21:C21"/>
    <mergeCell ref="B13:C13"/>
    <mergeCell ref="B16:C16"/>
    <mergeCell ref="B17:C17"/>
    <mergeCell ref="B18:C18"/>
    <mergeCell ref="B19:C19"/>
    <mergeCell ref="B20:C20"/>
    <mergeCell ref="B15:C15"/>
    <mergeCell ref="B10:C10"/>
    <mergeCell ref="B11:C11"/>
    <mergeCell ref="B12:C12"/>
    <mergeCell ref="D91:E91"/>
    <mergeCell ref="D92:E92"/>
    <mergeCell ref="C42:C44"/>
    <mergeCell ref="D66:F66"/>
    <mergeCell ref="B34:C34"/>
    <mergeCell ref="B35:C35"/>
    <mergeCell ref="B36:C36"/>
    <mergeCell ref="B37:C37"/>
    <mergeCell ref="B38:C38"/>
    <mergeCell ref="D59:E59"/>
    <mergeCell ref="B105:C105"/>
    <mergeCell ref="B107:C107"/>
    <mergeCell ref="B41:C41"/>
    <mergeCell ref="B69:C69"/>
    <mergeCell ref="B71:C71"/>
    <mergeCell ref="B70:C70"/>
    <mergeCell ref="D95:E95"/>
    <mergeCell ref="D94:E94"/>
    <mergeCell ref="B103:C103"/>
    <mergeCell ref="B104:C104"/>
    <mergeCell ref="B102:C102"/>
    <mergeCell ref="B109:C109"/>
    <mergeCell ref="B110:C110"/>
    <mergeCell ref="B111:C111"/>
    <mergeCell ref="B112:C112"/>
    <mergeCell ref="B113:C113"/>
    <mergeCell ref="B118:C118"/>
    <mergeCell ref="B134:C134"/>
    <mergeCell ref="B135:C135"/>
    <mergeCell ref="B140:F140"/>
    <mergeCell ref="D1:Q1"/>
    <mergeCell ref="D2:Q5"/>
    <mergeCell ref="Q6:Q7"/>
    <mergeCell ref="B61:C61"/>
    <mergeCell ref="B64:C64"/>
    <mergeCell ref="B62:C62"/>
    <mergeCell ref="B114:C114"/>
    <mergeCell ref="B115:C115"/>
    <mergeCell ref="B116:C116"/>
    <mergeCell ref="B117:C117"/>
    <mergeCell ref="B1:C1"/>
    <mergeCell ref="B108:C108"/>
  </mergeCells>
  <phoneticPr fontId="0" type="noConversion"/>
  <dataValidations count="9">
    <dataValidation type="list" allowBlank="1" showInputMessage="1" showErrorMessage="1" sqref="D91">
      <formula1>$H$158:$H$159</formula1>
    </dataValidation>
    <dataValidation type="list" allowBlank="1" showInputMessage="1" showErrorMessage="1" sqref="D92 D95">
      <formula1>$G$158:$G$159</formula1>
    </dataValidation>
    <dataValidation type="list" allowBlank="1" showInputMessage="1" showErrorMessage="1" sqref="D93">
      <formula1>$L$158:$L$159</formula1>
    </dataValidation>
    <dataValidation type="list" allowBlank="1" showInputMessage="1" showErrorMessage="1" sqref="C2">
      <formula1>$B$158:$B$159</formula1>
    </dataValidation>
    <dataValidation type="list" allowBlank="1" showInputMessage="1" showErrorMessage="1" sqref="D43:O43">
      <formula1>$C$158:$C$159</formula1>
    </dataValidation>
    <dataValidation type="list" allowBlank="1" showInputMessage="1" showErrorMessage="1" sqref="C42">
      <formula1>$O$158:$O$160</formula1>
    </dataValidation>
    <dataValidation type="list" allowBlank="1" showInputMessage="1" showErrorMessage="1" sqref="D66">
      <formula1>$R$158:$R$159</formula1>
    </dataValidation>
    <dataValidation type="list" allowBlank="1" showInputMessage="1" showErrorMessage="1" sqref="G66:H66">
      <formula1>$U$158:$U$159</formula1>
    </dataValidation>
    <dataValidation type="list" allowBlank="1" showInputMessage="1" showErrorMessage="1" sqref="D59:E59">
      <formula1>$J$158:$J$159</formula1>
    </dataValidation>
  </dataValidations>
  <hyperlinks>
    <hyperlink ref="B1" r:id="rId1"/>
  </hyperlinks>
  <printOptions horizontalCentered="1"/>
  <pageMargins left="0" right="0" top="0" bottom="0" header="0" footer="0"/>
  <pageSetup paperSize="9" orientation="landscape" r:id="rId2"/>
  <headerFooter alignWithMargins="0"/>
  <ignoredErrors>
    <ignoredError sqref="E147" formulaRange="1"/>
    <ignoredError sqref="E148 C72 C90 C53:C56 D132:O132 C85:C86 C74:C79 C47 C58:C59 E8:O10 E30:O30 E42:O42 C60 C80:C82 E43:F43 G43:O43 C48:C52 E15:O18 E14:N14 E19:O26 E11:O13 C6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:M65"/>
  <sheetViews>
    <sheetView showGridLines="0" zoomScale="75" zoomScaleNormal="75" workbookViewId="0">
      <selection activeCell="E24" sqref="E24"/>
    </sheetView>
  </sheetViews>
  <sheetFormatPr defaultColWidth="9.140625" defaultRowHeight="15.75"/>
  <cols>
    <col min="1" max="1" width="4.42578125" style="12" customWidth="1"/>
    <col min="2" max="2" width="6.28515625" style="12" customWidth="1"/>
    <col min="3" max="3" width="44.140625" style="12" bestFit="1" customWidth="1"/>
    <col min="4" max="4" width="23" style="12" bestFit="1" customWidth="1"/>
    <col min="5" max="5" width="9.7109375" style="12" customWidth="1"/>
    <col min="6" max="6" width="19" style="12" bestFit="1" customWidth="1"/>
    <col min="7" max="7" width="15.42578125" style="12" customWidth="1"/>
    <col min="8" max="8" width="7" style="12" customWidth="1"/>
    <col min="9" max="9" width="40.7109375" style="12" bestFit="1" customWidth="1"/>
    <col min="10" max="10" width="17.85546875" style="12" customWidth="1"/>
    <col min="11" max="11" width="9.140625" style="12"/>
    <col min="12" max="12" width="27.42578125" style="12" bestFit="1" customWidth="1"/>
    <col min="13" max="13" width="13.7109375" style="12" customWidth="1"/>
    <col min="14" max="16384" width="9.140625" style="12"/>
  </cols>
  <sheetData>
    <row r="1" spans="3:13" ht="15" customHeight="1"/>
    <row r="2" spans="3:13" ht="22.5">
      <c r="C2" s="13" t="s">
        <v>67</v>
      </c>
    </row>
    <row r="3" spans="3:13">
      <c r="C3" s="14"/>
    </row>
    <row r="4" spans="3:13">
      <c r="C4" s="15" t="s">
        <v>69</v>
      </c>
      <c r="F4" s="28"/>
      <c r="G4" s="29"/>
      <c r="H4" s="29"/>
      <c r="I4" s="15" t="s">
        <v>70</v>
      </c>
      <c r="L4" s="15" t="s">
        <v>71</v>
      </c>
    </row>
    <row r="5" spans="3:13">
      <c r="C5" s="33" t="s">
        <v>1</v>
      </c>
      <c r="D5" s="21">
        <v>0</v>
      </c>
      <c r="F5" s="30"/>
      <c r="G5" s="30"/>
      <c r="H5" s="29"/>
      <c r="I5" s="33" t="s">
        <v>1</v>
      </c>
      <c r="J5" s="21">
        <v>0</v>
      </c>
      <c r="L5" s="33" t="s">
        <v>1</v>
      </c>
      <c r="M5" s="21">
        <v>0</v>
      </c>
    </row>
    <row r="6" spans="3:13">
      <c r="C6" s="33" t="s">
        <v>2</v>
      </c>
      <c r="D6" s="21">
        <v>0</v>
      </c>
      <c r="F6" s="30"/>
      <c r="G6" s="30"/>
      <c r="H6" s="29"/>
      <c r="I6" s="33" t="s">
        <v>2</v>
      </c>
      <c r="J6" s="21">
        <v>0</v>
      </c>
      <c r="L6" s="33" t="s">
        <v>2</v>
      </c>
      <c r="M6" s="21">
        <v>0</v>
      </c>
    </row>
    <row r="7" spans="3:13">
      <c r="C7" s="33" t="s">
        <v>3</v>
      </c>
      <c r="D7" s="21">
        <v>0</v>
      </c>
      <c r="F7" s="30"/>
      <c r="G7" s="30"/>
      <c r="H7" s="29"/>
      <c r="I7" s="33" t="s">
        <v>3</v>
      </c>
      <c r="J7" s="21">
        <v>0</v>
      </c>
      <c r="L7" s="33" t="s">
        <v>3</v>
      </c>
      <c r="M7" s="21">
        <v>0</v>
      </c>
    </row>
    <row r="8" spans="3:13">
      <c r="C8" s="33" t="s">
        <v>4</v>
      </c>
      <c r="D8" s="21">
        <v>0</v>
      </c>
      <c r="F8" s="30"/>
      <c r="G8" s="30"/>
      <c r="H8" s="29"/>
      <c r="I8" s="33" t="s">
        <v>4</v>
      </c>
      <c r="J8" s="21">
        <v>0</v>
      </c>
      <c r="L8" s="33" t="s">
        <v>4</v>
      </c>
      <c r="M8" s="21">
        <v>0</v>
      </c>
    </row>
    <row r="9" spans="3:13">
      <c r="C9" s="33" t="s">
        <v>5</v>
      </c>
      <c r="D9" s="21">
        <v>0</v>
      </c>
      <c r="F9" s="30"/>
      <c r="G9" s="30"/>
      <c r="H9" s="29"/>
      <c r="I9" s="33" t="s">
        <v>5</v>
      </c>
      <c r="J9" s="21">
        <v>0</v>
      </c>
      <c r="L9" s="33" t="s">
        <v>5</v>
      </c>
      <c r="M9" s="21">
        <v>0</v>
      </c>
    </row>
    <row r="10" spans="3:13">
      <c r="C10" s="33" t="s">
        <v>6</v>
      </c>
      <c r="D10" s="21">
        <v>0</v>
      </c>
      <c r="F10" s="30"/>
      <c r="G10" s="30"/>
      <c r="H10" s="29"/>
      <c r="I10" s="33" t="s">
        <v>6</v>
      </c>
      <c r="J10" s="21">
        <v>0</v>
      </c>
      <c r="L10" s="33" t="s">
        <v>6</v>
      </c>
      <c r="M10" s="21">
        <v>0</v>
      </c>
    </row>
    <row r="11" spans="3:13">
      <c r="C11" s="33" t="s">
        <v>7</v>
      </c>
      <c r="D11" s="21">
        <v>0</v>
      </c>
      <c r="F11" s="30"/>
      <c r="G11" s="30"/>
      <c r="H11" s="29"/>
      <c r="I11" s="33" t="s">
        <v>7</v>
      </c>
      <c r="J11" s="21">
        <v>0</v>
      </c>
      <c r="L11" s="33" t="s">
        <v>7</v>
      </c>
      <c r="M11" s="21">
        <v>0</v>
      </c>
    </row>
    <row r="12" spans="3:13">
      <c r="C12" s="33" t="s">
        <v>8</v>
      </c>
      <c r="D12" s="21">
        <v>0</v>
      </c>
      <c r="F12" s="30"/>
      <c r="G12" s="30"/>
      <c r="H12" s="29"/>
      <c r="I12" s="33" t="s">
        <v>8</v>
      </c>
      <c r="J12" s="21">
        <v>0</v>
      </c>
      <c r="L12" s="33" t="s">
        <v>8</v>
      </c>
      <c r="M12" s="21">
        <v>0</v>
      </c>
    </row>
    <row r="13" spans="3:13">
      <c r="C13" s="33" t="s">
        <v>9</v>
      </c>
      <c r="D13" s="21">
        <v>0</v>
      </c>
      <c r="F13" s="30"/>
      <c r="G13" s="30"/>
      <c r="H13" s="29"/>
      <c r="I13" s="33" t="s">
        <v>9</v>
      </c>
      <c r="J13" s="21">
        <v>0</v>
      </c>
      <c r="L13" s="33" t="s">
        <v>9</v>
      </c>
      <c r="M13" s="21">
        <v>0</v>
      </c>
    </row>
    <row r="14" spans="3:13">
      <c r="C14" s="33" t="s">
        <v>10</v>
      </c>
      <c r="D14" s="21">
        <v>0</v>
      </c>
      <c r="F14" s="30"/>
      <c r="G14" s="30"/>
      <c r="H14" s="29"/>
      <c r="I14" s="33" t="s">
        <v>10</v>
      </c>
      <c r="J14" s="21">
        <v>0</v>
      </c>
      <c r="L14" s="33" t="s">
        <v>10</v>
      </c>
      <c r="M14" s="21">
        <v>0</v>
      </c>
    </row>
    <row r="15" spans="3:13">
      <c r="C15" s="33" t="s">
        <v>11</v>
      </c>
      <c r="D15" s="21">
        <v>0</v>
      </c>
      <c r="F15" s="30"/>
      <c r="G15" s="30"/>
      <c r="H15" s="29"/>
      <c r="I15" s="33" t="s">
        <v>11</v>
      </c>
      <c r="J15" s="21">
        <v>0</v>
      </c>
      <c r="L15" s="33" t="s">
        <v>11</v>
      </c>
      <c r="M15" s="21">
        <v>0</v>
      </c>
    </row>
    <row r="16" spans="3:13">
      <c r="C16" s="33" t="s">
        <v>12</v>
      </c>
      <c r="D16" s="21">
        <v>0</v>
      </c>
      <c r="F16" s="30"/>
      <c r="G16" s="30"/>
      <c r="H16" s="29"/>
      <c r="I16" s="33" t="s">
        <v>12</v>
      </c>
      <c r="J16" s="21">
        <v>0</v>
      </c>
      <c r="L16" s="33" t="s">
        <v>12</v>
      </c>
      <c r="M16" s="21">
        <v>0</v>
      </c>
    </row>
    <row r="17" spans="3:13">
      <c r="C17" s="17" t="s">
        <v>13</v>
      </c>
      <c r="D17" s="18">
        <f>SUM(D5:D16)</f>
        <v>0</v>
      </c>
      <c r="F17" s="31"/>
      <c r="G17" s="31"/>
      <c r="H17" s="29"/>
      <c r="I17" s="17" t="s">
        <v>13</v>
      </c>
      <c r="J17" s="18">
        <f>SUM(J5:J16)</f>
        <v>0</v>
      </c>
      <c r="L17" s="17" t="s">
        <v>13</v>
      </c>
      <c r="M17" s="18">
        <f>SUM(M5:M16)</f>
        <v>0</v>
      </c>
    </row>
    <row r="18" spans="3:13" ht="15.75" customHeight="1">
      <c r="C18" s="17"/>
      <c r="D18" s="19"/>
      <c r="F18" s="29"/>
      <c r="G18" s="29"/>
      <c r="H18" s="29"/>
    </row>
    <row r="19" spans="3:13">
      <c r="C19" s="15"/>
      <c r="F19" s="12" t="s">
        <v>77</v>
      </c>
    </row>
    <row r="20" spans="3:13">
      <c r="C20" s="15" t="s">
        <v>72</v>
      </c>
      <c r="F20" s="15" t="s">
        <v>79</v>
      </c>
      <c r="I20" s="15" t="s">
        <v>80</v>
      </c>
      <c r="L20" s="15" t="s">
        <v>81</v>
      </c>
    </row>
    <row r="21" spans="3:13">
      <c r="C21" s="33" t="s">
        <v>1</v>
      </c>
      <c r="D21" s="21">
        <v>0</v>
      </c>
      <c r="F21" s="33" t="s">
        <v>1</v>
      </c>
      <c r="G21" s="21">
        <v>0</v>
      </c>
      <c r="I21" s="33" t="s">
        <v>1</v>
      </c>
      <c r="J21" s="21">
        <v>0</v>
      </c>
      <c r="L21" s="33" t="s">
        <v>1</v>
      </c>
      <c r="M21" s="21">
        <v>0</v>
      </c>
    </row>
    <row r="22" spans="3:13">
      <c r="C22" s="33" t="s">
        <v>2</v>
      </c>
      <c r="D22" s="21">
        <v>0</v>
      </c>
      <c r="F22" s="33" t="s">
        <v>2</v>
      </c>
      <c r="G22" s="21">
        <v>0</v>
      </c>
      <c r="I22" s="33" t="s">
        <v>2</v>
      </c>
      <c r="J22" s="21">
        <v>0</v>
      </c>
      <c r="L22" s="33" t="s">
        <v>2</v>
      </c>
      <c r="M22" s="21">
        <v>0</v>
      </c>
    </row>
    <row r="23" spans="3:13">
      <c r="C23" s="33" t="s">
        <v>3</v>
      </c>
      <c r="D23" s="21">
        <v>0</v>
      </c>
      <c r="F23" s="33" t="s">
        <v>3</v>
      </c>
      <c r="G23" s="21">
        <v>0</v>
      </c>
      <c r="I23" s="33" t="s">
        <v>3</v>
      </c>
      <c r="J23" s="21">
        <v>0</v>
      </c>
      <c r="L23" s="33" t="s">
        <v>3</v>
      </c>
      <c r="M23" s="21">
        <v>0</v>
      </c>
    </row>
    <row r="24" spans="3:13">
      <c r="C24" s="33" t="s">
        <v>4</v>
      </c>
      <c r="D24" s="21">
        <v>0</v>
      </c>
      <c r="F24" s="33" t="s">
        <v>4</v>
      </c>
      <c r="G24" s="21">
        <v>0</v>
      </c>
      <c r="I24" s="33" t="s">
        <v>4</v>
      </c>
      <c r="J24" s="21">
        <v>0</v>
      </c>
      <c r="L24" s="33" t="s">
        <v>4</v>
      </c>
      <c r="M24" s="21">
        <v>0</v>
      </c>
    </row>
    <row r="25" spans="3:13">
      <c r="C25" s="33" t="s">
        <v>5</v>
      </c>
      <c r="D25" s="21">
        <v>0</v>
      </c>
      <c r="F25" s="33" t="s">
        <v>5</v>
      </c>
      <c r="G25" s="21">
        <v>0</v>
      </c>
      <c r="I25" s="33" t="s">
        <v>5</v>
      </c>
      <c r="J25" s="21">
        <v>0</v>
      </c>
      <c r="L25" s="33" t="s">
        <v>5</v>
      </c>
      <c r="M25" s="21">
        <v>0</v>
      </c>
    </row>
    <row r="26" spans="3:13">
      <c r="C26" s="33" t="s">
        <v>6</v>
      </c>
      <c r="D26" s="21">
        <v>0</v>
      </c>
      <c r="F26" s="33" t="s">
        <v>6</v>
      </c>
      <c r="G26" s="21">
        <v>0</v>
      </c>
      <c r="I26" s="33" t="s">
        <v>6</v>
      </c>
      <c r="J26" s="21">
        <v>0</v>
      </c>
      <c r="L26" s="33" t="s">
        <v>6</v>
      </c>
      <c r="M26" s="21">
        <v>0</v>
      </c>
    </row>
    <row r="27" spans="3:13">
      <c r="C27" s="33" t="s">
        <v>7</v>
      </c>
      <c r="D27" s="21">
        <v>0</v>
      </c>
      <c r="F27" s="33" t="s">
        <v>7</v>
      </c>
      <c r="G27" s="21">
        <v>0</v>
      </c>
      <c r="I27" s="33" t="s">
        <v>7</v>
      </c>
      <c r="J27" s="21">
        <v>0</v>
      </c>
      <c r="L27" s="33" t="s">
        <v>7</v>
      </c>
      <c r="M27" s="21">
        <v>0</v>
      </c>
    </row>
    <row r="28" spans="3:13">
      <c r="C28" s="33" t="s">
        <v>8</v>
      </c>
      <c r="D28" s="21">
        <v>0</v>
      </c>
      <c r="F28" s="33" t="s">
        <v>8</v>
      </c>
      <c r="G28" s="21">
        <v>0</v>
      </c>
      <c r="I28" s="33" t="s">
        <v>8</v>
      </c>
      <c r="J28" s="21">
        <v>0</v>
      </c>
      <c r="L28" s="33" t="s">
        <v>8</v>
      </c>
      <c r="M28" s="21">
        <v>0</v>
      </c>
    </row>
    <row r="29" spans="3:13">
      <c r="C29" s="33" t="s">
        <v>9</v>
      </c>
      <c r="D29" s="21">
        <v>0</v>
      </c>
      <c r="F29" s="33" t="s">
        <v>9</v>
      </c>
      <c r="G29" s="21">
        <v>0</v>
      </c>
      <c r="I29" s="33" t="s">
        <v>9</v>
      </c>
      <c r="J29" s="21">
        <v>0</v>
      </c>
      <c r="L29" s="33" t="s">
        <v>9</v>
      </c>
      <c r="M29" s="21">
        <v>0</v>
      </c>
    </row>
    <row r="30" spans="3:13">
      <c r="C30" s="33" t="s">
        <v>10</v>
      </c>
      <c r="D30" s="21">
        <v>0</v>
      </c>
      <c r="F30" s="33" t="s">
        <v>10</v>
      </c>
      <c r="G30" s="21">
        <v>0</v>
      </c>
      <c r="I30" s="33" t="s">
        <v>10</v>
      </c>
      <c r="J30" s="21">
        <v>0</v>
      </c>
      <c r="L30" s="33" t="s">
        <v>10</v>
      </c>
      <c r="M30" s="21">
        <v>0</v>
      </c>
    </row>
    <row r="31" spans="3:13">
      <c r="C31" s="33" t="s">
        <v>11</v>
      </c>
      <c r="D31" s="21">
        <v>0</v>
      </c>
      <c r="F31" s="33" t="s">
        <v>11</v>
      </c>
      <c r="G31" s="21">
        <v>0</v>
      </c>
      <c r="I31" s="33" t="s">
        <v>11</v>
      </c>
      <c r="J31" s="21">
        <v>0</v>
      </c>
      <c r="L31" s="33" t="s">
        <v>11</v>
      </c>
      <c r="M31" s="21">
        <v>0</v>
      </c>
    </row>
    <row r="32" spans="3:13">
      <c r="C32" s="33" t="s">
        <v>12</v>
      </c>
      <c r="D32" s="21">
        <v>0</v>
      </c>
      <c r="F32" s="33" t="s">
        <v>12</v>
      </c>
      <c r="G32" s="21">
        <v>0</v>
      </c>
      <c r="I32" s="33" t="s">
        <v>12</v>
      </c>
      <c r="J32" s="21">
        <v>0</v>
      </c>
      <c r="L32" s="33" t="s">
        <v>12</v>
      </c>
      <c r="M32" s="21">
        <v>0</v>
      </c>
    </row>
    <row r="33" spans="3:13">
      <c r="C33" s="17" t="s">
        <v>13</v>
      </c>
      <c r="D33" s="18">
        <f>SUM(D21:D32)</f>
        <v>0</v>
      </c>
      <c r="F33" s="17" t="s">
        <v>13</v>
      </c>
      <c r="G33" s="18">
        <f>SUM(G21:G32)</f>
        <v>0</v>
      </c>
      <c r="I33" s="17" t="s">
        <v>13</v>
      </c>
      <c r="J33" s="18">
        <f>SUM(J21:J32)</f>
        <v>0</v>
      </c>
      <c r="L33" s="17" t="s">
        <v>13</v>
      </c>
      <c r="M33" s="18">
        <f>SUM(M21:M32)</f>
        <v>0</v>
      </c>
    </row>
    <row r="34" spans="3:13">
      <c r="C34" s="15"/>
    </row>
    <row r="35" spans="3:13">
      <c r="C35" s="15" t="s">
        <v>91</v>
      </c>
      <c r="F35" s="15" t="s">
        <v>74</v>
      </c>
      <c r="I35" s="15" t="s">
        <v>27</v>
      </c>
      <c r="L35" s="15" t="s">
        <v>82</v>
      </c>
    </row>
    <row r="36" spans="3:13">
      <c r="C36" s="33" t="s">
        <v>1</v>
      </c>
      <c r="D36" s="21">
        <v>0</v>
      </c>
      <c r="F36" s="33" t="s">
        <v>1</v>
      </c>
      <c r="G36" s="21">
        <v>0</v>
      </c>
      <c r="I36" s="33" t="s">
        <v>1</v>
      </c>
      <c r="J36" s="21">
        <v>0</v>
      </c>
      <c r="L36" s="33" t="s">
        <v>1</v>
      </c>
      <c r="M36" s="21">
        <v>0</v>
      </c>
    </row>
    <row r="37" spans="3:13">
      <c r="C37" s="33" t="s">
        <v>2</v>
      </c>
      <c r="D37" s="21">
        <v>0</v>
      </c>
      <c r="F37" s="33" t="s">
        <v>2</v>
      </c>
      <c r="G37" s="21">
        <v>0</v>
      </c>
      <c r="I37" s="33" t="s">
        <v>2</v>
      </c>
      <c r="J37" s="21">
        <v>0</v>
      </c>
      <c r="L37" s="33" t="s">
        <v>2</v>
      </c>
      <c r="M37" s="21">
        <v>0</v>
      </c>
    </row>
    <row r="38" spans="3:13">
      <c r="C38" s="33" t="s">
        <v>3</v>
      </c>
      <c r="D38" s="21">
        <v>0</v>
      </c>
      <c r="F38" s="33" t="s">
        <v>3</v>
      </c>
      <c r="G38" s="21">
        <v>0</v>
      </c>
      <c r="I38" s="33" t="s">
        <v>3</v>
      </c>
      <c r="J38" s="21">
        <v>0</v>
      </c>
      <c r="L38" s="33" t="s">
        <v>3</v>
      </c>
      <c r="M38" s="21">
        <v>0</v>
      </c>
    </row>
    <row r="39" spans="3:13">
      <c r="C39" s="33" t="s">
        <v>4</v>
      </c>
      <c r="D39" s="21">
        <v>0</v>
      </c>
      <c r="F39" s="33" t="s">
        <v>4</v>
      </c>
      <c r="G39" s="21">
        <v>0</v>
      </c>
      <c r="I39" s="33" t="s">
        <v>4</v>
      </c>
      <c r="J39" s="21">
        <v>0</v>
      </c>
      <c r="L39" s="33" t="s">
        <v>4</v>
      </c>
      <c r="M39" s="21">
        <v>0</v>
      </c>
    </row>
    <row r="40" spans="3:13">
      <c r="C40" s="33" t="s">
        <v>5</v>
      </c>
      <c r="D40" s="21">
        <v>0</v>
      </c>
      <c r="F40" s="33" t="s">
        <v>5</v>
      </c>
      <c r="G40" s="21">
        <v>0</v>
      </c>
      <c r="I40" s="33" t="s">
        <v>5</v>
      </c>
      <c r="J40" s="21">
        <v>0</v>
      </c>
      <c r="L40" s="33" t="s">
        <v>5</v>
      </c>
      <c r="M40" s="21">
        <v>0</v>
      </c>
    </row>
    <row r="41" spans="3:13">
      <c r="C41" s="33" t="s">
        <v>6</v>
      </c>
      <c r="D41" s="21">
        <v>0</v>
      </c>
      <c r="F41" s="33" t="s">
        <v>6</v>
      </c>
      <c r="G41" s="21">
        <v>0</v>
      </c>
      <c r="I41" s="33" t="s">
        <v>6</v>
      </c>
      <c r="J41" s="21">
        <v>0</v>
      </c>
      <c r="L41" s="33" t="s">
        <v>6</v>
      </c>
      <c r="M41" s="21">
        <v>0</v>
      </c>
    </row>
    <row r="42" spans="3:13">
      <c r="C42" s="33" t="s">
        <v>7</v>
      </c>
      <c r="D42" s="21">
        <v>0</v>
      </c>
      <c r="F42" s="33" t="s">
        <v>7</v>
      </c>
      <c r="G42" s="21">
        <v>0</v>
      </c>
      <c r="I42" s="33" t="s">
        <v>7</v>
      </c>
      <c r="J42" s="21">
        <v>0</v>
      </c>
      <c r="L42" s="33" t="s">
        <v>7</v>
      </c>
      <c r="M42" s="21">
        <v>0</v>
      </c>
    </row>
    <row r="43" spans="3:13">
      <c r="C43" s="33" t="s">
        <v>8</v>
      </c>
      <c r="D43" s="21">
        <v>0</v>
      </c>
      <c r="F43" s="33" t="s">
        <v>8</v>
      </c>
      <c r="G43" s="21">
        <v>0</v>
      </c>
      <c r="I43" s="33" t="s">
        <v>8</v>
      </c>
      <c r="J43" s="21">
        <v>0</v>
      </c>
      <c r="L43" s="33" t="s">
        <v>8</v>
      </c>
      <c r="M43" s="21">
        <v>0</v>
      </c>
    </row>
    <row r="44" spans="3:13">
      <c r="C44" s="33" t="s">
        <v>9</v>
      </c>
      <c r="D44" s="21">
        <v>0</v>
      </c>
      <c r="F44" s="33" t="s">
        <v>9</v>
      </c>
      <c r="G44" s="21">
        <v>0</v>
      </c>
      <c r="I44" s="33" t="s">
        <v>9</v>
      </c>
      <c r="J44" s="21">
        <v>0</v>
      </c>
      <c r="L44" s="33" t="s">
        <v>9</v>
      </c>
      <c r="M44" s="21">
        <v>0</v>
      </c>
    </row>
    <row r="45" spans="3:13">
      <c r="C45" s="33" t="s">
        <v>10</v>
      </c>
      <c r="D45" s="21">
        <v>0</v>
      </c>
      <c r="F45" s="33" t="s">
        <v>10</v>
      </c>
      <c r="G45" s="21">
        <v>0</v>
      </c>
      <c r="I45" s="33" t="s">
        <v>10</v>
      </c>
      <c r="J45" s="21">
        <v>0</v>
      </c>
      <c r="L45" s="33" t="s">
        <v>10</v>
      </c>
      <c r="M45" s="21">
        <v>0</v>
      </c>
    </row>
    <row r="46" spans="3:13">
      <c r="C46" s="33" t="s">
        <v>11</v>
      </c>
      <c r="D46" s="21">
        <v>0</v>
      </c>
      <c r="F46" s="33" t="s">
        <v>11</v>
      </c>
      <c r="G46" s="21">
        <v>0</v>
      </c>
      <c r="I46" s="33" t="s">
        <v>11</v>
      </c>
      <c r="J46" s="21">
        <v>0</v>
      </c>
      <c r="L46" s="33" t="s">
        <v>11</v>
      </c>
      <c r="M46" s="21">
        <v>0</v>
      </c>
    </row>
    <row r="47" spans="3:13">
      <c r="C47" s="33" t="s">
        <v>12</v>
      </c>
      <c r="D47" s="21">
        <v>0</v>
      </c>
      <c r="F47" s="33" t="s">
        <v>12</v>
      </c>
      <c r="G47" s="21">
        <v>0</v>
      </c>
      <c r="I47" s="33" t="s">
        <v>12</v>
      </c>
      <c r="J47" s="21">
        <v>0</v>
      </c>
      <c r="L47" s="33" t="s">
        <v>12</v>
      </c>
      <c r="M47" s="21">
        <v>0</v>
      </c>
    </row>
    <row r="48" spans="3:13">
      <c r="C48" s="17" t="s">
        <v>13</v>
      </c>
      <c r="D48" s="18">
        <f>SUM(D36:D47)</f>
        <v>0</v>
      </c>
      <c r="F48" s="17" t="s">
        <v>13</v>
      </c>
      <c r="G48" s="18">
        <f>SUM(G36:G47)</f>
        <v>0</v>
      </c>
      <c r="I48" s="17" t="s">
        <v>13</v>
      </c>
      <c r="J48" s="18">
        <f>SUM(J36:J47)</f>
        <v>0</v>
      </c>
      <c r="L48" s="17" t="s">
        <v>13</v>
      </c>
      <c r="M48" s="18">
        <f>SUM(M36:M47)</f>
        <v>0</v>
      </c>
    </row>
    <row r="49" spans="3:4">
      <c r="C49" s="16"/>
      <c r="D49" s="19"/>
    </row>
    <row r="50" spans="3:4">
      <c r="C50" s="15" t="s">
        <v>83</v>
      </c>
    </row>
    <row r="51" spans="3:4">
      <c r="C51" s="33" t="s">
        <v>1</v>
      </c>
      <c r="D51" s="21">
        <v>0</v>
      </c>
    </row>
    <row r="52" spans="3:4">
      <c r="C52" s="33" t="s">
        <v>2</v>
      </c>
      <c r="D52" s="21">
        <v>0</v>
      </c>
    </row>
    <row r="53" spans="3:4">
      <c r="C53" s="33" t="s">
        <v>3</v>
      </c>
      <c r="D53" s="21">
        <v>0</v>
      </c>
    </row>
    <row r="54" spans="3:4">
      <c r="C54" s="33" t="s">
        <v>4</v>
      </c>
      <c r="D54" s="21">
        <v>0</v>
      </c>
    </row>
    <row r="55" spans="3:4">
      <c r="C55" s="33" t="s">
        <v>5</v>
      </c>
      <c r="D55" s="21">
        <v>0</v>
      </c>
    </row>
    <row r="56" spans="3:4">
      <c r="C56" s="33" t="s">
        <v>6</v>
      </c>
      <c r="D56" s="21">
        <v>0</v>
      </c>
    </row>
    <row r="57" spans="3:4">
      <c r="C57" s="33" t="s">
        <v>7</v>
      </c>
      <c r="D57" s="21">
        <v>0</v>
      </c>
    </row>
    <row r="58" spans="3:4">
      <c r="C58" s="33" t="s">
        <v>8</v>
      </c>
      <c r="D58" s="21">
        <v>0</v>
      </c>
    </row>
    <row r="59" spans="3:4">
      <c r="C59" s="33" t="s">
        <v>9</v>
      </c>
      <c r="D59" s="21">
        <v>0</v>
      </c>
    </row>
    <row r="60" spans="3:4">
      <c r="C60" s="33" t="s">
        <v>10</v>
      </c>
      <c r="D60" s="21">
        <v>0</v>
      </c>
    </row>
    <row r="61" spans="3:4">
      <c r="C61" s="33" t="s">
        <v>11</v>
      </c>
      <c r="D61" s="21">
        <v>0</v>
      </c>
    </row>
    <row r="62" spans="3:4">
      <c r="C62" s="33" t="s">
        <v>12</v>
      </c>
      <c r="D62" s="21">
        <v>0</v>
      </c>
    </row>
    <row r="63" spans="3:4">
      <c r="C63" s="17" t="s">
        <v>13</v>
      </c>
      <c r="D63" s="18">
        <f>SUM(D51:D62)</f>
        <v>0</v>
      </c>
    </row>
    <row r="65" spans="3:4">
      <c r="C65" s="14" t="s">
        <v>68</v>
      </c>
      <c r="D65" s="20">
        <f xml:space="preserve"> SUM(D17,G17,J17,M17,D33,G33,J33,M33,D48,G48,J48,M48,D63)</f>
        <v>0</v>
      </c>
    </row>
  </sheetData>
  <sheetProtection password="CA98" sheet="1"/>
  <printOptions horizontalCentered="1"/>
  <pageMargins left="0.87598425199999996" right="0.74803149606299202" top="0.734251969" bottom="0.734251969" header="0.511811023622047" footer="0.511811023622047"/>
  <pageSetup scale="4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72"/>
  <sheetViews>
    <sheetView workbookViewId="0">
      <selection activeCell="C9" sqref="C9"/>
    </sheetView>
  </sheetViews>
  <sheetFormatPr defaultColWidth="10.85546875" defaultRowHeight="15"/>
  <cols>
    <col min="1" max="1" width="10.85546875" style="35"/>
    <col min="2" max="2" width="4" style="35" customWidth="1"/>
    <col min="3" max="3" width="54.85546875" style="35" customWidth="1"/>
    <col min="4" max="4" width="3.85546875" style="35" customWidth="1"/>
    <col min="5" max="5" width="10.85546875" style="35"/>
    <col min="6" max="6" width="3.85546875" style="35" customWidth="1"/>
    <col min="7" max="7" width="10.85546875" style="35"/>
    <col min="8" max="8" width="4.140625" style="35" bestFit="1" customWidth="1"/>
    <col min="9" max="9" width="10.85546875" style="35"/>
    <col min="10" max="10" width="3.42578125" style="35" bestFit="1" customWidth="1"/>
    <col min="11" max="16384" width="10.85546875" style="35"/>
  </cols>
  <sheetData>
    <row r="1" spans="2:7" ht="15.75">
      <c r="B1" s="34" t="s">
        <v>197</v>
      </c>
    </row>
    <row r="2" spans="2:7">
      <c r="B2" s="35">
        <v>1</v>
      </c>
      <c r="C2" s="35" t="s">
        <v>198</v>
      </c>
    </row>
    <row r="3" spans="2:7">
      <c r="C3" s="37" t="s">
        <v>199</v>
      </c>
      <c r="D3" s="35" t="s">
        <v>203</v>
      </c>
      <c r="E3" s="38">
        <f>SUM('2020-21'!P8:P26)-SUM('2020-21'!P49:P57)+'2020-21'!P131</f>
        <v>0</v>
      </c>
    </row>
    <row r="4" spans="2:7" ht="30">
      <c r="C4" s="36" t="s">
        <v>200</v>
      </c>
      <c r="D4" s="35" t="s">
        <v>203</v>
      </c>
      <c r="E4" s="39">
        <v>0</v>
      </c>
    </row>
    <row r="5" spans="2:7" ht="30">
      <c r="C5" s="36" t="s">
        <v>201</v>
      </c>
      <c r="D5" s="35" t="s">
        <v>203</v>
      </c>
      <c r="E5" s="39">
        <v>0</v>
      </c>
    </row>
    <row r="6" spans="2:7">
      <c r="C6" s="36" t="s">
        <v>202</v>
      </c>
      <c r="F6" s="35" t="s">
        <v>203</v>
      </c>
      <c r="G6" s="38">
        <f>E3+E4+E5</f>
        <v>0</v>
      </c>
    </row>
    <row r="8" spans="2:7">
      <c r="B8" s="35">
        <v>2</v>
      </c>
      <c r="C8" s="35" t="s">
        <v>204</v>
      </c>
    </row>
    <row r="9" spans="2:7">
      <c r="C9" s="35" t="s">
        <v>205</v>
      </c>
      <c r="D9" s="35" t="s">
        <v>203</v>
      </c>
      <c r="E9" s="38">
        <f>'2020-21'!P44</f>
        <v>0</v>
      </c>
    </row>
    <row r="10" spans="2:7">
      <c r="C10" s="35" t="s">
        <v>241</v>
      </c>
      <c r="D10" s="35" t="s">
        <v>203</v>
      </c>
      <c r="E10" s="39">
        <v>0</v>
      </c>
    </row>
    <row r="11" spans="2:7">
      <c r="C11" s="35" t="s">
        <v>236</v>
      </c>
      <c r="D11" s="35" t="s">
        <v>203</v>
      </c>
      <c r="E11" s="38">
        <f>'2020-21'!P47</f>
        <v>0</v>
      </c>
    </row>
    <row r="12" spans="2:7">
      <c r="C12" s="35" t="s">
        <v>237</v>
      </c>
      <c r="D12" s="35" t="s">
        <v>203</v>
      </c>
      <c r="E12" s="38">
        <f>'2020-21'!P58</f>
        <v>0</v>
      </c>
    </row>
    <row r="13" spans="2:7">
      <c r="C13" s="35" t="s">
        <v>238</v>
      </c>
      <c r="D13" s="35" t="s">
        <v>203</v>
      </c>
      <c r="E13" s="38">
        <f>'2020-21'!P48</f>
        <v>0</v>
      </c>
    </row>
    <row r="14" spans="2:7">
      <c r="C14" s="35" t="s">
        <v>239</v>
      </c>
      <c r="D14" s="35" t="s">
        <v>203</v>
      </c>
      <c r="E14" s="38">
        <f>'2020-21'!P59</f>
        <v>0</v>
      </c>
    </row>
    <row r="15" spans="2:7">
      <c r="C15" s="35" t="s">
        <v>240</v>
      </c>
      <c r="F15" s="35" t="s">
        <v>203</v>
      </c>
      <c r="G15" s="38">
        <f>SUM(E9:E14)</f>
        <v>0</v>
      </c>
    </row>
    <row r="17" spans="2:9">
      <c r="B17" s="35">
        <v>3</v>
      </c>
      <c r="C17" s="35" t="s">
        <v>207</v>
      </c>
      <c r="F17" s="35" t="s">
        <v>203</v>
      </c>
      <c r="G17" s="38">
        <f>G6-G15</f>
        <v>0</v>
      </c>
    </row>
    <row r="19" spans="2:9">
      <c r="B19" s="35">
        <v>4</v>
      </c>
      <c r="C19" s="35" t="s">
        <v>208</v>
      </c>
    </row>
    <row r="20" spans="2:9">
      <c r="C20" s="35" t="s">
        <v>209</v>
      </c>
      <c r="D20" s="35" t="s">
        <v>203</v>
      </c>
      <c r="E20" s="39">
        <v>0</v>
      </c>
    </row>
    <row r="21" spans="2:9">
      <c r="C21" s="35" t="s">
        <v>210</v>
      </c>
      <c r="D21" s="35" t="s">
        <v>203</v>
      </c>
      <c r="E21" s="38">
        <f>'2020-21'!P121</f>
        <v>0</v>
      </c>
    </row>
    <row r="23" spans="2:9">
      <c r="B23" s="35">
        <v>5</v>
      </c>
      <c r="C23" s="35" t="s">
        <v>211</v>
      </c>
      <c r="F23" s="35" t="s">
        <v>203</v>
      </c>
      <c r="G23" s="38">
        <f>SUM(E20:E21)</f>
        <v>0</v>
      </c>
    </row>
    <row r="25" spans="2:9">
      <c r="B25" s="35">
        <v>6</v>
      </c>
      <c r="C25" s="35" t="s">
        <v>212</v>
      </c>
      <c r="H25" s="35" t="s">
        <v>203</v>
      </c>
      <c r="I25" s="38">
        <f>G17-G23</f>
        <v>0</v>
      </c>
    </row>
    <row r="27" spans="2:9">
      <c r="B27" s="35">
        <v>7</v>
      </c>
      <c r="C27" s="35" t="s">
        <v>213</v>
      </c>
    </row>
    <row r="28" spans="2:9">
      <c r="C28" s="35" t="s">
        <v>215</v>
      </c>
      <c r="D28" s="35" t="s">
        <v>203</v>
      </c>
      <c r="E28" s="38">
        <f>'2020-21'!P30-'2020-21'!P60-SUM('2020-21'!P66:P68)</f>
        <v>0</v>
      </c>
    </row>
    <row r="29" spans="2:9">
      <c r="C29" s="35" t="s">
        <v>242</v>
      </c>
      <c r="D29" s="35" t="s">
        <v>203</v>
      </c>
      <c r="E29" s="38">
        <f>'2020-21'!P31</f>
        <v>0</v>
      </c>
    </row>
    <row r="30" spans="2:9">
      <c r="C30" s="35" t="s">
        <v>243</v>
      </c>
      <c r="D30" s="35" t="s">
        <v>203</v>
      </c>
      <c r="E30" s="38">
        <f>'2020-21'!P32</f>
        <v>0</v>
      </c>
    </row>
    <row r="31" spans="2:9">
      <c r="C31" s="35" t="s">
        <v>206</v>
      </c>
      <c r="F31" s="35" t="s">
        <v>203</v>
      </c>
      <c r="G31" s="38">
        <f>SUM(E28:E30)</f>
        <v>0</v>
      </c>
    </row>
    <row r="33" spans="2:9">
      <c r="B33" s="35">
        <v>8</v>
      </c>
      <c r="C33" s="35" t="s">
        <v>214</v>
      </c>
      <c r="H33" s="35" t="s">
        <v>203</v>
      </c>
      <c r="I33" s="38">
        <f>I25+G31</f>
        <v>0</v>
      </c>
    </row>
    <row r="35" spans="2:9">
      <c r="B35" s="35">
        <v>9</v>
      </c>
      <c r="C35" s="35" t="s">
        <v>216</v>
      </c>
    </row>
    <row r="36" spans="2:9">
      <c r="C36" s="35" t="s">
        <v>217</v>
      </c>
    </row>
    <row r="37" spans="2:9" ht="30">
      <c r="C37" s="36" t="s">
        <v>231</v>
      </c>
      <c r="G37" s="36" t="s">
        <v>219</v>
      </c>
      <c r="I37" s="36" t="s">
        <v>220</v>
      </c>
    </row>
    <row r="38" spans="2:9">
      <c r="C38" s="35" t="s">
        <v>232</v>
      </c>
      <c r="F38" s="35" t="s">
        <v>218</v>
      </c>
      <c r="G38" s="38">
        <f>'2020-21'!C75</f>
        <v>0</v>
      </c>
    </row>
    <row r="39" spans="2:9">
      <c r="C39" s="35" t="s">
        <v>233</v>
      </c>
      <c r="F39" s="35" t="s">
        <v>218</v>
      </c>
      <c r="G39" s="38">
        <f>'2020-21'!C73</f>
        <v>0</v>
      </c>
    </row>
    <row r="40" spans="2:9">
      <c r="C40" s="35" t="s">
        <v>234</v>
      </c>
      <c r="F40" s="35" t="s">
        <v>218</v>
      </c>
      <c r="G40" s="38">
        <f>'2020-21'!C74</f>
        <v>0</v>
      </c>
    </row>
    <row r="41" spans="2:9">
      <c r="C41" s="35" t="s">
        <v>244</v>
      </c>
      <c r="F41" s="35" t="s">
        <v>218</v>
      </c>
      <c r="G41" s="38">
        <f>'2020-21'!C81</f>
        <v>0</v>
      </c>
    </row>
    <row r="42" spans="2:9">
      <c r="C42" s="35" t="s">
        <v>235</v>
      </c>
      <c r="F42" s="35" t="s">
        <v>218</v>
      </c>
      <c r="G42" s="38">
        <f>'2020-21'!C83</f>
        <v>0</v>
      </c>
    </row>
    <row r="43" spans="2:9">
      <c r="C43" s="35" t="s">
        <v>245</v>
      </c>
      <c r="F43" s="35" t="s">
        <v>218</v>
      </c>
      <c r="G43" s="38">
        <f>'2020-21'!C72</f>
        <v>0</v>
      </c>
    </row>
    <row r="44" spans="2:9">
      <c r="C44" s="35" t="s">
        <v>246</v>
      </c>
      <c r="F44" s="35" t="s">
        <v>218</v>
      </c>
      <c r="G44" s="38">
        <f>SUM('2020-21'!C76:C77)</f>
        <v>0</v>
      </c>
    </row>
    <row r="45" spans="2:9">
      <c r="C45" s="35" t="s">
        <v>247</v>
      </c>
      <c r="F45" s="35" t="s">
        <v>218</v>
      </c>
      <c r="G45" s="38">
        <f>'2020-21'!C78</f>
        <v>0</v>
      </c>
    </row>
    <row r="46" spans="2:9">
      <c r="C46" s="35" t="s">
        <v>248</v>
      </c>
      <c r="F46" s="35" t="s">
        <v>218</v>
      </c>
      <c r="G46" s="38">
        <f>'2020-21'!C82</f>
        <v>0</v>
      </c>
    </row>
    <row r="47" spans="2:9">
      <c r="C47" s="35" t="s">
        <v>249</v>
      </c>
      <c r="F47" s="35" t="s">
        <v>218</v>
      </c>
      <c r="G47" s="38">
        <f>'2020-21'!C80</f>
        <v>0</v>
      </c>
    </row>
    <row r="48" spans="2:9">
      <c r="C48" s="35" t="s">
        <v>221</v>
      </c>
      <c r="F48" s="35" t="s">
        <v>218</v>
      </c>
      <c r="G48" s="38">
        <f>'2020-21'!C86</f>
        <v>0</v>
      </c>
    </row>
    <row r="49" spans="2:11">
      <c r="C49" s="35" t="s">
        <v>222</v>
      </c>
      <c r="F49" s="35" t="s">
        <v>218</v>
      </c>
      <c r="G49" s="38">
        <f>'2020-21'!C87</f>
        <v>0</v>
      </c>
      <c r="H49" s="35" t="s">
        <v>218</v>
      </c>
      <c r="I49" s="38">
        <f>'2020-21'!P88</f>
        <v>0</v>
      </c>
    </row>
    <row r="50" spans="2:11" ht="30">
      <c r="C50" s="36" t="s">
        <v>223</v>
      </c>
      <c r="G50" s="36" t="s">
        <v>219</v>
      </c>
      <c r="I50" s="36" t="s">
        <v>224</v>
      </c>
      <c r="K50" s="36"/>
    </row>
    <row r="51" spans="2:11">
      <c r="C51" s="35" t="s">
        <v>250</v>
      </c>
      <c r="F51" s="35" t="s">
        <v>218</v>
      </c>
      <c r="G51" s="38">
        <f>SUM('2020-21'!C90:C91)</f>
        <v>0</v>
      </c>
      <c r="H51" s="35" t="s">
        <v>218</v>
      </c>
      <c r="I51" s="38">
        <f>SUM('2020-21'!P90:P91)</f>
        <v>0</v>
      </c>
    </row>
    <row r="52" spans="2:11">
      <c r="C52" s="35" t="s">
        <v>251</v>
      </c>
      <c r="F52" s="35" t="s">
        <v>218</v>
      </c>
      <c r="G52" s="38">
        <f>'2020-21'!C92</f>
        <v>0</v>
      </c>
      <c r="H52" s="35" t="s">
        <v>218</v>
      </c>
      <c r="I52" s="38">
        <f>'2020-21'!P92</f>
        <v>0</v>
      </c>
    </row>
    <row r="53" spans="2:11">
      <c r="C53" s="35" t="s">
        <v>252</v>
      </c>
      <c r="F53" s="35" t="s">
        <v>218</v>
      </c>
      <c r="G53" s="38">
        <f>'2020-21'!C93</f>
        <v>0</v>
      </c>
      <c r="H53" s="35" t="s">
        <v>218</v>
      </c>
      <c r="I53" s="38">
        <f>'2020-21'!P93</f>
        <v>0</v>
      </c>
    </row>
    <row r="54" spans="2:11">
      <c r="C54" s="35" t="s">
        <v>253</v>
      </c>
      <c r="F54" s="35" t="s">
        <v>218</v>
      </c>
      <c r="G54" s="38">
        <f>'2020-21'!C94</f>
        <v>0</v>
      </c>
      <c r="H54" s="35" t="s">
        <v>218</v>
      </c>
      <c r="I54" s="38">
        <f>'2020-21'!P94</f>
        <v>0</v>
      </c>
    </row>
    <row r="55" spans="2:11">
      <c r="C55" s="35" t="s">
        <v>254</v>
      </c>
      <c r="F55" s="35" t="s">
        <v>218</v>
      </c>
      <c r="G55" s="38">
        <f>'2020-21'!C95</f>
        <v>0</v>
      </c>
      <c r="H55" s="35" t="s">
        <v>218</v>
      </c>
      <c r="I55" s="38">
        <f>'2020-21'!P95</f>
        <v>0</v>
      </c>
    </row>
    <row r="56" spans="2:11">
      <c r="C56" s="35" t="s">
        <v>255</v>
      </c>
      <c r="F56" s="35" t="s">
        <v>218</v>
      </c>
      <c r="G56" s="38">
        <f>'2020-21'!C98</f>
        <v>0</v>
      </c>
      <c r="H56" s="35" t="s">
        <v>218</v>
      </c>
      <c r="I56" s="38">
        <f>'2020-21'!P98</f>
        <v>0</v>
      </c>
    </row>
    <row r="57" spans="2:11">
      <c r="C57" s="35" t="s">
        <v>256</v>
      </c>
      <c r="F57" s="35" t="s">
        <v>218</v>
      </c>
      <c r="G57" s="38">
        <f>'2020-21'!C100</f>
        <v>0</v>
      </c>
      <c r="H57" s="35" t="s">
        <v>218</v>
      </c>
      <c r="I57" s="38">
        <f>'2020-21'!P100</f>
        <v>0</v>
      </c>
    </row>
    <row r="58" spans="2:11">
      <c r="C58" s="35" t="s">
        <v>257</v>
      </c>
      <c r="F58" s="35" t="s">
        <v>218</v>
      </c>
      <c r="G58" s="38">
        <f>'2020-21'!C101</f>
        <v>0</v>
      </c>
      <c r="H58" s="35" t="s">
        <v>218</v>
      </c>
      <c r="I58" s="38">
        <f>'2020-21'!P101</f>
        <v>0</v>
      </c>
    </row>
    <row r="60" spans="2:11">
      <c r="B60" s="35">
        <v>10</v>
      </c>
      <c r="C60" s="35" t="s">
        <v>225</v>
      </c>
      <c r="H60" s="35" t="s">
        <v>218</v>
      </c>
      <c r="I60" s="38">
        <f>I49+SUM(I51:I58)</f>
        <v>0</v>
      </c>
    </row>
    <row r="62" spans="2:11">
      <c r="B62" s="35">
        <v>11</v>
      </c>
      <c r="C62" s="35" t="s">
        <v>226</v>
      </c>
      <c r="H62" s="35" t="s">
        <v>218</v>
      </c>
      <c r="I62" s="38">
        <f>I33-I60</f>
        <v>0</v>
      </c>
    </row>
    <row r="64" spans="2:11">
      <c r="B64" s="35">
        <v>12</v>
      </c>
      <c r="C64" s="35" t="s">
        <v>227</v>
      </c>
      <c r="H64" s="35" t="s">
        <v>218</v>
      </c>
      <c r="I64" s="38">
        <f>'2020-21'!P113</f>
        <v>0</v>
      </c>
    </row>
    <row r="66" spans="2:9">
      <c r="B66" s="35">
        <v>13</v>
      </c>
      <c r="C66" s="35" t="s">
        <v>258</v>
      </c>
      <c r="H66" s="35" t="s">
        <v>218</v>
      </c>
      <c r="I66" s="38">
        <f>'2020-21'!P114</f>
        <v>0</v>
      </c>
    </row>
    <row r="68" spans="2:9">
      <c r="B68" s="35">
        <v>14</v>
      </c>
      <c r="C68" s="35" t="s">
        <v>228</v>
      </c>
      <c r="H68" s="35" t="s">
        <v>218</v>
      </c>
      <c r="I68" s="38">
        <f>I64+I66</f>
        <v>0</v>
      </c>
    </row>
    <row r="70" spans="2:9">
      <c r="B70" s="35">
        <v>15</v>
      </c>
      <c r="C70" s="35" t="s">
        <v>229</v>
      </c>
      <c r="H70" s="35" t="s">
        <v>218</v>
      </c>
      <c r="I70" s="38">
        <v>0</v>
      </c>
    </row>
    <row r="72" spans="2:9">
      <c r="B72" s="35">
        <v>16</v>
      </c>
      <c r="C72" s="35" t="s">
        <v>230</v>
      </c>
      <c r="H72" s="35" t="s">
        <v>218</v>
      </c>
      <c r="I72" s="38">
        <f>I68-I70</f>
        <v>0</v>
      </c>
    </row>
  </sheetData>
  <sheetProtection password="CA98" sheet="1" objects="1" scenarios="1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2020-21</vt:lpstr>
      <vt:lpstr>Savings</vt:lpstr>
      <vt:lpstr>Tax Computation</vt:lpstr>
      <vt:lpstr>Savings!Print_Area</vt:lpstr>
      <vt:lpstr>Yes</vt:lpstr>
    </vt:vector>
  </TitlesOfParts>
  <Company>impetus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Batra</dc:creator>
  <cp:lastModifiedBy>HOME</cp:lastModifiedBy>
  <cp:lastPrinted>2005-07-21T07:32:21Z</cp:lastPrinted>
  <dcterms:created xsi:type="dcterms:W3CDTF">2004-12-23T07:38:21Z</dcterms:created>
  <dcterms:modified xsi:type="dcterms:W3CDTF">2021-03-02T05:24:33Z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-771808776</vt:i4>
  </property>
  <property fmtid="{D5CDD505-2E9C-101B-9397-08002B2CF9AE}" pid="3" name="_EmailSubject">
    <vt:lpwstr>Upload</vt:lpwstr>
  </property>
  <property fmtid="{D5CDD505-2E9C-101B-9397-08002B2CF9AE}" pid="4" name="_AuthorEmail">
    <vt:lpwstr>hemant.karandikar@impetus.co.in</vt:lpwstr>
  </property>
  <property fmtid="{D5CDD505-2E9C-101B-9397-08002B2CF9AE}" pid="5" name="_AuthorEmailDisplayName">
    <vt:lpwstr>Hemant Karandikar</vt:lpwstr>
  </property>
  <property fmtid="{D5CDD505-2E9C-101B-9397-08002B2CF9AE}" pid="6" name="_PreviousAdHocReviewCycleID">
    <vt:i4>-1174327945</vt:i4>
  </property>
  <property fmtid="{D5CDD505-2E9C-101B-9397-08002B2CF9AE}" pid="7" name="_ReviewingToolsShownOnce">
    <vt:lpwstr/>
  </property>
</Properties>
</file>