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465" windowWidth="28800" windowHeight="16440"/>
  </bookViews>
  <sheets>
    <sheet name="2018-19" sheetId="5" r:id="rId1"/>
    <sheet name="Savings" sheetId="7" r:id="rId2"/>
    <sheet name="Tax Computation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et3">'[1]FORM-16'!#REF!</definedName>
    <definedName name="_MP1">[2]entitlements!#REF!</definedName>
    <definedName name="_NO3">#REF!</definedName>
    <definedName name="_NO5">#REF!</definedName>
    <definedName name="_NO7">#REF!</definedName>
    <definedName name="_qya3">#REF!</definedName>
    <definedName name="a">#REF!</definedName>
    <definedName name="aa">'[3]FORM-16'!#REF!</definedName>
    <definedName name="aaaa">'[4]FORM-16'!#REF!</definedName>
    <definedName name="aaaaaaaa">'[3]FORM-16'!#REF!</definedName>
    <definedName name="ac">'[3]FORM-16'!#REF!</definedName>
    <definedName name="adrga">#REF!</definedName>
    <definedName name="aertert">'[1]FORM-16'!#REF!</definedName>
    <definedName name="aet">[2]entitlements!#REF!</definedName>
    <definedName name="aet4t">'[1]FORM-16'!#REF!</definedName>
    <definedName name="aetga">#REF!</definedName>
    <definedName name="aetq4t">#REF!</definedName>
    <definedName name="aey">#REF!</definedName>
    <definedName name="AEY45AY">'[4]FORM-16'!#REF!</definedName>
    <definedName name="AEYA5Y">'[4]FORM-16'!#REF!</definedName>
    <definedName name="aeyae">'[5]FORM-16'!$B$1:$K$61</definedName>
    <definedName name="aeyAEY">'[4]FORM-16'!#REF!</definedName>
    <definedName name="AEYAY">'[4]FORM-16'!#REF!</definedName>
    <definedName name="AEYRAY">'[4]FORM-16'!#REF!</definedName>
    <definedName name="aeyrq">'[5]FORM-16'!$B$63:$K$135</definedName>
    <definedName name="aeyt">'[6]FORM-16'!$A$63:$J$135</definedName>
    <definedName name="AEYY">'[4]FORM-16'!#REF!</definedName>
    <definedName name="ag">#REF!</definedName>
    <definedName name="agea">[2]entitlements!#REF!</definedName>
    <definedName name="arey">'[3]FORM-16'!#REF!</definedName>
    <definedName name="areya">#REF!</definedName>
    <definedName name="arga">[7]!words</definedName>
    <definedName name="arhyae">#REF!</definedName>
    <definedName name="aryaey">[7]!words</definedName>
    <definedName name="asd">'[1]FORM-16'!#REF!</definedName>
    <definedName name="asegt">[8]!words</definedName>
    <definedName name="asg">'[3]FORM-16'!#REF!</definedName>
    <definedName name="atat">#REF!</definedName>
    <definedName name="awyY">#REF!</definedName>
    <definedName name="AY5Y">'[4]FORM-16'!#REF!</definedName>
    <definedName name="AYAY">'[4]FORM-16'!#REF!</definedName>
    <definedName name="AYHT">'[4]FORM-16'!#REF!</definedName>
    <definedName name="AYSEY">'[4]FORM-16'!#REF!</definedName>
    <definedName name="b">#REF!</definedName>
    <definedName name="bi">#REF!</definedName>
    <definedName name="da">'[3]FORM-16'!#REF!</definedName>
    <definedName name="db">'[3]FORM-16'!#REF!</definedName>
    <definedName name="dgae">#REF!</definedName>
    <definedName name="drgarhy">#REF!</definedName>
    <definedName name="dtu">'[1]FORM-16'!#REF!</definedName>
    <definedName name="dtyr">'[9]FORM-16'!$A$1:$J$61</definedName>
    <definedName name="eay">[10]entitlements!#REF!</definedName>
    <definedName name="ei">#REF!</definedName>
    <definedName name="eratret">'[1]FORM-16'!#REF!</definedName>
    <definedName name="erteat">'[1]FORM-16'!#REF!</definedName>
    <definedName name="ertet">'[1]FORM-16'!#REF!</definedName>
    <definedName name="eryq43y7">'[9]FORM-16'!$A$63:$J$135</definedName>
    <definedName name="et4twq">'[1]FORM-16'!#REF!</definedName>
    <definedName name="eta34t">'[1]FORM-16'!#REF!</definedName>
    <definedName name="etaet">'[1]FORM-16'!#REF!</definedName>
    <definedName name="etu">'[11]FORM-16'!$A$63:$J$135</definedName>
    <definedName name="EWGFEWg">#REF!</definedName>
    <definedName name="ewtew">[2]entitlements!#REF!</definedName>
    <definedName name="ewtr">#REF!</definedName>
    <definedName name="EY5Y">'[4]FORM-16'!#REF!</definedName>
    <definedName name="fd">[2]entitlements!#REF!</definedName>
    <definedName name="fwef">#REF!</definedName>
    <definedName name="ga">'[3]FORM-16'!#REF!</definedName>
    <definedName name="gb">'[3]FORM-16'!#REF!</definedName>
    <definedName name="gfjf">#REF!</definedName>
    <definedName name="GWEEygera">#REF!</definedName>
    <definedName name="ha">'[3]FORM-16'!#REF!</definedName>
    <definedName name="hardyg">'[3]FORM-16'!#REF!</definedName>
    <definedName name="hb">'[3]FORM-16'!#REF!</definedName>
    <definedName name="i">'[1]FORM-16'!#REF!</definedName>
    <definedName name="income">#REF!</definedName>
    <definedName name="INSTRUCT">#REF!</definedName>
    <definedName name="int">'[1]FORM-16'!#REF!</definedName>
    <definedName name="interest">'[1]FORM-16'!#REF!</definedName>
    <definedName name="iuw5i">#REF!</definedName>
    <definedName name="ja">#REF!</definedName>
    <definedName name="jb">#REF!</definedName>
    <definedName name="k" localSheetId="1">'[12]Form 16'!$B$63:$K$121</definedName>
    <definedName name="k">'[13]Form 16'!$B$63:$K$121</definedName>
    <definedName name="ka">'[3]FORM-16'!#REF!</definedName>
    <definedName name="kb">'[3]FORM-16'!#REF!</definedName>
    <definedName name="LETTER">#REF!</definedName>
    <definedName name="LOCAL">#REF!</definedName>
    <definedName name="mp" localSheetId="1">[14]entitlements!#REF!</definedName>
    <definedName name="mp">[15]entitlements!#REF!</definedName>
    <definedName name="PAGE">#REF!</definedName>
    <definedName name="PAGE1">#REF!</definedName>
    <definedName name="PAGE10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Savings!$A$1:$E$67</definedName>
    <definedName name="_xlnm.Print_Area">#REF!</definedName>
    <definedName name="qregt3yg">#REF!</definedName>
    <definedName name="QUARTER1">#REF!</definedName>
    <definedName name="QUARTER2">#REF!</definedName>
    <definedName name="QUARTER3">#REF!</definedName>
    <definedName name="QUARTER4">#REF!</definedName>
    <definedName name="qwerrt">#REF!</definedName>
    <definedName name="RAEYAEY">'[4]FORM-16'!#REF!</definedName>
    <definedName name="rdteqt">'[1]FORM-16'!#REF!</definedName>
    <definedName name="rsaya">[16]!words</definedName>
    <definedName name="rtert">'[1]FORM-16'!#REF!</definedName>
    <definedName name="ry">'[6]FORM-16'!$A$1:$J$61</definedName>
    <definedName name="sa">'[3]FORM-16'!#REF!</definedName>
    <definedName name="sary">'[11]FORM-16'!$A$1:$J$61</definedName>
    <definedName name="sb">'[3]FORM-16'!#REF!</definedName>
    <definedName name="sdtdf">'[1]FORM-16'!#REF!</definedName>
    <definedName name="seyya">'[3]FORM-16'!#REF!</definedName>
    <definedName name="sft">#REF!</definedName>
    <definedName name="sh">#REF!</definedName>
    <definedName name="srdy">'[3]FORM-16'!#REF!</definedName>
    <definedName name="sreya">'[3]FORM-16'!#REF!</definedName>
    <definedName name="srty">'[3]FORM-16'!#REF!</definedName>
    <definedName name="sTFg">[2]entitlements!#REF!</definedName>
    <definedName name="surtu">#REF!</definedName>
    <definedName name="syas">'[3]FORM-16'!#REF!</definedName>
    <definedName name="szg">#REF!</definedName>
    <definedName name="t">'[6]FORM-16'!$A$63:$J$135</definedName>
    <definedName name="tax">#REF!</definedName>
    <definedName name="tens">#REF!</definedName>
    <definedName name="TOTAL">#REF!</definedName>
    <definedName name="tou">#REF!</definedName>
    <definedName name="trdut">'[1]FORM-16'!#REF!</definedName>
    <definedName name="trsy">'[3]FORM-16'!#REF!</definedName>
    <definedName name="units">#REF!</definedName>
    <definedName name="USDOLLARS">#REF!</definedName>
    <definedName name="w5y">#REF!</definedName>
    <definedName name="wa">'[3]FORM-16'!#REF!</definedName>
    <definedName name="wat">'[6]FORM-16'!$A$1:$J$61</definedName>
    <definedName name="wb">'[3]FORM-16'!#REF!</definedName>
    <definedName name="wetw">#REF!</definedName>
    <definedName name="words">[7]!words</definedName>
    <definedName name="xxxx">#REF!</definedName>
    <definedName name="xyz">#REF!</definedName>
    <definedName name="ya5y">[16]!words</definedName>
    <definedName name="YEARLOCAL">#REF!</definedName>
    <definedName name="Yes" localSheetId="1">#REF!</definedName>
    <definedName name="Yes">'2018-19'!$D$92</definedName>
    <definedName name="ytruy">'[1]FORM-16'!#REF!</definedName>
    <definedName name="z">#REF!</definedName>
    <definedName name="zfgha">#REF!</definedName>
  </definedNames>
  <calcPr calcId="124519" concurrentCalc="0"/>
</workbook>
</file>

<file path=xl/calcChain.xml><?xml version="1.0" encoding="utf-8"?>
<calcChain xmlns="http://schemas.openxmlformats.org/spreadsheetml/2006/main">
  <c r="E9" i="5"/>
  <c r="F9"/>
  <c r="G9"/>
  <c r="H9"/>
  <c r="I9"/>
  <c r="J9"/>
  <c r="K9"/>
  <c r="L9"/>
  <c r="M9"/>
  <c r="N9"/>
  <c r="O9"/>
  <c r="P9"/>
  <c r="E13"/>
  <c r="F13"/>
  <c r="G13"/>
  <c r="H13"/>
  <c r="I13"/>
  <c r="J13"/>
  <c r="K13"/>
  <c r="L13"/>
  <c r="M13"/>
  <c r="N13"/>
  <c r="O13"/>
  <c r="P13"/>
  <c r="E10"/>
  <c r="F10"/>
  <c r="G10"/>
  <c r="H10"/>
  <c r="I10"/>
  <c r="J10"/>
  <c r="K10"/>
  <c r="L10"/>
  <c r="M10"/>
  <c r="N10"/>
  <c r="O10"/>
  <c r="P10"/>
  <c r="E11"/>
  <c r="F11"/>
  <c r="G11"/>
  <c r="H11"/>
  <c r="I11"/>
  <c r="J11"/>
  <c r="K11"/>
  <c r="L11"/>
  <c r="M11"/>
  <c r="N11"/>
  <c r="O11"/>
  <c r="P11"/>
  <c r="E12"/>
  <c r="F12"/>
  <c r="G12"/>
  <c r="H12"/>
  <c r="I12"/>
  <c r="J12"/>
  <c r="K12"/>
  <c r="L12"/>
  <c r="M12"/>
  <c r="N12"/>
  <c r="O12"/>
  <c r="P12"/>
  <c r="E14"/>
  <c r="F14"/>
  <c r="G14"/>
  <c r="H14"/>
  <c r="I14"/>
  <c r="J14"/>
  <c r="K14"/>
  <c r="L14"/>
  <c r="M14"/>
  <c r="N14"/>
  <c r="O14"/>
  <c r="P14"/>
  <c r="P15"/>
  <c r="P16"/>
  <c r="P17"/>
  <c r="P18"/>
  <c r="P19"/>
  <c r="E20"/>
  <c r="F20"/>
  <c r="G20"/>
  <c r="H20"/>
  <c r="I20"/>
  <c r="J20"/>
  <c r="K20"/>
  <c r="L20"/>
  <c r="M20"/>
  <c r="N20"/>
  <c r="O20"/>
  <c r="P20"/>
  <c r="E21"/>
  <c r="F21"/>
  <c r="G21"/>
  <c r="H21"/>
  <c r="I21"/>
  <c r="J21"/>
  <c r="K21"/>
  <c r="L21"/>
  <c r="M21"/>
  <c r="N21"/>
  <c r="O21"/>
  <c r="P21"/>
  <c r="E22"/>
  <c r="F22"/>
  <c r="G22"/>
  <c r="H22"/>
  <c r="I22"/>
  <c r="J22"/>
  <c r="K22"/>
  <c r="L22"/>
  <c r="M22"/>
  <c r="N22"/>
  <c r="O22"/>
  <c r="P22"/>
  <c r="E23"/>
  <c r="F23"/>
  <c r="G23"/>
  <c r="H23"/>
  <c r="I23"/>
  <c r="J23"/>
  <c r="K23"/>
  <c r="L23"/>
  <c r="M23"/>
  <c r="N23"/>
  <c r="O23"/>
  <c r="P23"/>
  <c r="E24"/>
  <c r="F24"/>
  <c r="G24"/>
  <c r="H24"/>
  <c r="I24"/>
  <c r="J24"/>
  <c r="K24"/>
  <c r="L24"/>
  <c r="M24"/>
  <c r="N24"/>
  <c r="O24"/>
  <c r="P24"/>
  <c r="E25"/>
  <c r="F25"/>
  <c r="G25"/>
  <c r="H25"/>
  <c r="I25"/>
  <c r="J25"/>
  <c r="K25"/>
  <c r="L25"/>
  <c r="M25"/>
  <c r="N25"/>
  <c r="O25"/>
  <c r="P25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L27"/>
  <c r="M27"/>
  <c r="N27"/>
  <c r="O27"/>
  <c r="P27"/>
  <c r="P28"/>
  <c r="P29"/>
  <c r="P30"/>
  <c r="E31"/>
  <c r="F31"/>
  <c r="G31"/>
  <c r="H31"/>
  <c r="I31"/>
  <c r="J31"/>
  <c r="K31"/>
  <c r="L31"/>
  <c r="M31"/>
  <c r="N31"/>
  <c r="O31"/>
  <c r="P31"/>
  <c r="P32"/>
  <c r="P33"/>
  <c r="P34"/>
  <c r="P35"/>
  <c r="P36"/>
  <c r="P37"/>
  <c r="P38"/>
  <c r="P39"/>
  <c r="D132"/>
  <c r="E132"/>
  <c r="F132"/>
  <c r="G132"/>
  <c r="H132"/>
  <c r="I132"/>
  <c r="J132"/>
  <c r="K132"/>
  <c r="L132"/>
  <c r="M132"/>
  <c r="N132"/>
  <c r="O132"/>
  <c r="P132"/>
  <c r="P40"/>
  <c r="D45"/>
  <c r="E44"/>
  <c r="E43"/>
  <c r="E45"/>
  <c r="F44"/>
  <c r="F43"/>
  <c r="F45"/>
  <c r="G44"/>
  <c r="G43"/>
  <c r="G45"/>
  <c r="H44"/>
  <c r="H43"/>
  <c r="H45"/>
  <c r="I44"/>
  <c r="I43"/>
  <c r="I45"/>
  <c r="J44"/>
  <c r="J43"/>
  <c r="J45"/>
  <c r="K44"/>
  <c r="K43"/>
  <c r="K45"/>
  <c r="L44"/>
  <c r="L43"/>
  <c r="L45"/>
  <c r="M44"/>
  <c r="M43"/>
  <c r="M45"/>
  <c r="N44"/>
  <c r="N43"/>
  <c r="N45"/>
  <c r="O44"/>
  <c r="O43"/>
  <c r="O45"/>
  <c r="P45"/>
  <c r="P48"/>
  <c r="C49"/>
  <c r="P49"/>
  <c r="C50"/>
  <c r="P50"/>
  <c r="C51"/>
  <c r="P51"/>
  <c r="C52"/>
  <c r="P52"/>
  <c r="C53"/>
  <c r="P53"/>
  <c r="C54"/>
  <c r="P54"/>
  <c r="C55"/>
  <c r="P55"/>
  <c r="C56"/>
  <c r="P56"/>
  <c r="C57"/>
  <c r="P57"/>
  <c r="P58"/>
  <c r="C59"/>
  <c r="P59"/>
  <c r="C60"/>
  <c r="P60"/>
  <c r="P69"/>
  <c r="C61"/>
  <c r="P61"/>
  <c r="P62"/>
  <c r="P122"/>
  <c r="P63"/>
  <c r="P129"/>
  <c r="C64"/>
  <c r="P64"/>
  <c r="P65"/>
  <c r="P67"/>
  <c r="P68"/>
  <c r="P70"/>
  <c r="P104"/>
  <c r="J17" i="7"/>
  <c r="C73" i="5"/>
  <c r="P123"/>
  <c r="P125"/>
  <c r="C74"/>
  <c r="D17" i="7"/>
  <c r="C75" i="5"/>
  <c r="M17" i="7"/>
  <c r="C76" i="5"/>
  <c r="G33" i="7"/>
  <c r="C77" i="5"/>
  <c r="J33" i="7"/>
  <c r="C78" i="5"/>
  <c r="M33" i="7"/>
  <c r="C79" i="5"/>
  <c r="D48" i="7"/>
  <c r="C80" i="5"/>
  <c r="G48" i="7"/>
  <c r="C81" i="5"/>
  <c r="J48" i="7"/>
  <c r="C82" i="5"/>
  <c r="M48" i="7"/>
  <c r="C83" i="5"/>
  <c r="C86"/>
  <c r="D63" i="7"/>
  <c r="C87" i="5"/>
  <c r="P124"/>
  <c r="C88"/>
  <c r="P89"/>
  <c r="P130"/>
  <c r="C91"/>
  <c r="P91"/>
  <c r="P92"/>
  <c r="P93"/>
  <c r="P94"/>
  <c r="P95"/>
  <c r="P96"/>
  <c r="P97"/>
  <c r="P98"/>
  <c r="P99"/>
  <c r="P100"/>
  <c r="C101"/>
  <c r="P101"/>
  <c r="C102"/>
  <c r="P102"/>
  <c r="P106"/>
  <c r="P108"/>
  <c r="E176"/>
  <c r="H176"/>
  <c r="F176"/>
  <c r="I176"/>
  <c r="G176"/>
  <c r="J176"/>
  <c r="K176"/>
  <c r="L176"/>
  <c r="M176"/>
  <c r="N176"/>
  <c r="D176"/>
  <c r="C172"/>
  <c r="P110"/>
  <c r="P111"/>
  <c r="P112"/>
  <c r="E184"/>
  <c r="E187"/>
  <c r="E188"/>
  <c r="G184"/>
  <c r="G185"/>
  <c r="H186"/>
  <c r="G186"/>
  <c r="G187"/>
  <c r="G188"/>
  <c r="P113"/>
  <c r="P114"/>
  <c r="P115"/>
  <c r="C48"/>
  <c r="I64" i="8"/>
  <c r="I66"/>
  <c r="I68"/>
  <c r="I72"/>
  <c r="I58"/>
  <c r="G58"/>
  <c r="I57"/>
  <c r="G57"/>
  <c r="I56"/>
  <c r="I53"/>
  <c r="I54"/>
  <c r="I55"/>
  <c r="G56"/>
  <c r="G53"/>
  <c r="G54"/>
  <c r="G55"/>
  <c r="I49"/>
  <c r="I51"/>
  <c r="I52"/>
  <c r="I60"/>
  <c r="E3"/>
  <c r="G6"/>
  <c r="E11"/>
  <c r="E9"/>
  <c r="E12"/>
  <c r="E13"/>
  <c r="E14"/>
  <c r="G15"/>
  <c r="G17"/>
  <c r="E21"/>
  <c r="G23"/>
  <c r="I25"/>
  <c r="E28"/>
  <c r="E29"/>
  <c r="E30"/>
  <c r="G31"/>
  <c r="I33"/>
  <c r="I62"/>
  <c r="G52"/>
  <c r="G51"/>
  <c r="G49"/>
  <c r="G48"/>
  <c r="G47"/>
  <c r="G46"/>
  <c r="G45"/>
  <c r="G44"/>
  <c r="G43"/>
  <c r="G42"/>
  <c r="G41"/>
  <c r="G40"/>
  <c r="G39"/>
  <c r="G38"/>
  <c r="D133" i="5"/>
  <c r="E133"/>
  <c r="F133"/>
  <c r="G133"/>
  <c r="H133"/>
  <c r="I133"/>
  <c r="J133"/>
  <c r="K133"/>
  <c r="L133"/>
  <c r="M133"/>
  <c r="N133"/>
  <c r="O133"/>
  <c r="P133"/>
  <c r="P138"/>
  <c r="E147"/>
  <c r="E146"/>
  <c r="C146"/>
  <c r="P116"/>
  <c r="C143"/>
  <c r="D147"/>
  <c r="F147"/>
  <c r="E174"/>
  <c r="F174"/>
  <c r="G174"/>
  <c r="E175"/>
  <c r="F175"/>
  <c r="G175"/>
  <c r="E173"/>
  <c r="F173"/>
  <c r="G173"/>
  <c r="M174"/>
  <c r="M175"/>
  <c r="M173"/>
  <c r="I186"/>
  <c r="J186"/>
  <c r="C100"/>
  <c r="E199"/>
  <c r="E211"/>
  <c r="P131"/>
  <c r="D33" i="7"/>
  <c r="P128" i="5"/>
  <c r="P127"/>
  <c r="D40"/>
  <c r="D135"/>
  <c r="D136"/>
  <c r="P126"/>
  <c r="E149"/>
  <c r="E148"/>
  <c r="P121"/>
  <c r="P117"/>
  <c r="E200"/>
  <c r="D65" i="7"/>
  <c r="E205" i="5"/>
  <c r="F205"/>
  <c r="N174"/>
  <c r="N175"/>
  <c r="N173"/>
  <c r="E210"/>
  <c r="P43"/>
  <c r="C89"/>
  <c r="F215"/>
  <c r="F214"/>
  <c r="F213"/>
  <c r="F212"/>
  <c r="E40"/>
  <c r="E135"/>
  <c r="E136"/>
  <c r="F40"/>
  <c r="F135"/>
  <c r="F136"/>
  <c r="G40"/>
  <c r="G135"/>
  <c r="G136"/>
  <c r="I40"/>
  <c r="I135"/>
  <c r="I136"/>
  <c r="H40"/>
  <c r="H135"/>
  <c r="H136"/>
  <c r="J40"/>
  <c r="J135"/>
  <c r="J136"/>
  <c r="K40"/>
  <c r="K135"/>
  <c r="K136"/>
  <c r="L40"/>
  <c r="L135"/>
  <c r="L136"/>
  <c r="M40"/>
  <c r="M135"/>
  <c r="M136"/>
  <c r="N40"/>
  <c r="N135"/>
  <c r="N136"/>
  <c r="O40"/>
  <c r="O135"/>
  <c r="O136"/>
  <c r="E194"/>
  <c r="E191"/>
  <c r="E192"/>
  <c r="E193"/>
  <c r="E195"/>
  <c r="E197"/>
  <c r="E198"/>
  <c r="E202"/>
  <c r="E207"/>
  <c r="E208"/>
  <c r="E209"/>
  <c r="E201"/>
  <c r="F201"/>
  <c r="K174"/>
  <c r="H175"/>
  <c r="C168"/>
  <c r="E186"/>
  <c r="L173"/>
  <c r="D169"/>
  <c r="K173"/>
  <c r="C166"/>
  <c r="E167"/>
  <c r="D166"/>
  <c r="C167"/>
  <c r="D167"/>
  <c r="L175"/>
  <c r="H173"/>
  <c r="H174"/>
  <c r="F165"/>
  <c r="C169"/>
  <c r="L174"/>
  <c r="E169"/>
  <c r="K175"/>
  <c r="E168"/>
  <c r="E166"/>
  <c r="D168"/>
  <c r="I173"/>
  <c r="I175"/>
  <c r="J175"/>
  <c r="D175"/>
  <c r="J173"/>
  <c r="D173"/>
  <c r="E214"/>
  <c r="G214"/>
  <c r="E215"/>
  <c r="G215"/>
  <c r="E212"/>
  <c r="G212"/>
  <c r="E213"/>
  <c r="G213"/>
  <c r="I174"/>
  <c r="E203"/>
  <c r="F203"/>
  <c r="J174"/>
  <c r="D174"/>
  <c r="E204"/>
  <c r="F204"/>
  <c r="H212"/>
  <c r="I212"/>
  <c r="H214"/>
  <c r="I214"/>
  <c r="E185"/>
  <c r="E216"/>
  <c r="H215"/>
  <c r="I215"/>
  <c r="E217"/>
  <c r="H213"/>
  <c r="I213"/>
  <c r="J193"/>
  <c r="I220"/>
  <c r="P118"/>
  <c r="D148"/>
  <c r="F148"/>
  <c r="D146"/>
  <c r="F146"/>
  <c r="D149"/>
  <c r="F149"/>
</calcChain>
</file>

<file path=xl/sharedStrings.xml><?xml version="1.0" encoding="utf-8"?>
<sst xmlns="http://schemas.openxmlformats.org/spreadsheetml/2006/main" count="552" uniqueCount="290">
  <si>
    <t>Number of children</t>
  </si>
  <si>
    <t>Salary Breakup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</si>
  <si>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</si>
  <si>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</si>
  <si>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</si>
  <si>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</si>
  <si>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</si>
  <si>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</si>
  <si>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</si>
  <si>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</si>
  <si>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</si>
  <si>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</si>
  <si>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</si>
  <si>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</si>
  <si>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</si>
  <si>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Leave Encashment</t>
  </si>
  <si>
    <t>Food Coupons</t>
  </si>
  <si>
    <t>Telephone Reimbursements</t>
  </si>
  <si>
    <t>Actual Rent paid as per rent receipts</t>
  </si>
  <si>
    <t>HRA Exemption</t>
  </si>
  <si>
    <t>Child Education Allowance</t>
  </si>
  <si>
    <t>Balance Salary</t>
  </si>
  <si>
    <t>Professional Tax</t>
  </si>
  <si>
    <t>Net Taxable Salary</t>
  </si>
  <si>
    <t>Gross Total Income</t>
  </si>
  <si>
    <t>Deductions under chapter VIA</t>
  </si>
  <si>
    <t xml:space="preserve"> </t>
  </si>
  <si>
    <t>Employee's contribution to PF</t>
  </si>
  <si>
    <t>Housing Loan Principal repayment</t>
  </si>
  <si>
    <t>Monthly Deductions from salary</t>
  </si>
  <si>
    <t>Car Reimbursement</t>
  </si>
  <si>
    <t>Employee's PF Contribution</t>
  </si>
  <si>
    <t>Total of Section 80C</t>
  </si>
  <si>
    <t>Pension Fund (80 CCC)</t>
  </si>
  <si>
    <t>Arrears</t>
  </si>
  <si>
    <t>Internet Expense</t>
  </si>
  <si>
    <t>Driver Salary</t>
  </si>
  <si>
    <t>Employer's PF Contribution</t>
  </si>
  <si>
    <t>Total Tax as per Consolidation Sheet:</t>
  </si>
  <si>
    <t>PARTICULARS</t>
  </si>
  <si>
    <t>%</t>
  </si>
  <si>
    <t>Gifts From Non-Relatives</t>
  </si>
  <si>
    <t>Gifts From Relatives</t>
  </si>
  <si>
    <t>Age</t>
  </si>
  <si>
    <t>Non-Taxable Allowances</t>
  </si>
  <si>
    <t>TOTAL INCOME</t>
  </si>
  <si>
    <t>Gratuity</t>
  </si>
  <si>
    <t>Female</t>
  </si>
  <si>
    <t>Male</t>
  </si>
  <si>
    <t>Gender</t>
  </si>
  <si>
    <t>Non-Metro City</t>
  </si>
  <si>
    <t>Metro City</t>
  </si>
  <si>
    <t>On loan and Self Occupied</t>
  </si>
  <si>
    <t>On loan but Rented out</t>
  </si>
  <si>
    <t>Performance Incentive/Bonus</t>
  </si>
  <si>
    <t>House Rent Allowance (HRA)</t>
  </si>
  <si>
    <t>Basic Salary</t>
  </si>
  <si>
    <t>Leave Travel Allowance (LTA)</t>
  </si>
  <si>
    <t>Periodical Journals</t>
  </si>
  <si>
    <t>Exemptions</t>
  </si>
  <si>
    <t>Other Eligible Investments</t>
  </si>
  <si>
    <t>Donations - 80G (100 % deductions)</t>
  </si>
  <si>
    <t>Donations - 80G (50 % deductions)</t>
  </si>
  <si>
    <t>Grade/Special/Management/Supplemementary Allowance</t>
  </si>
  <si>
    <t>Deduction for company provided transport</t>
  </si>
  <si>
    <t>Deduction towards company provided medical insurance</t>
  </si>
  <si>
    <t>Deduction towards State Labour welfare Fund (LWF)</t>
  </si>
  <si>
    <t>Deduction towards company provided Group Term insurance</t>
  </si>
  <si>
    <t>Savings for Tax</t>
  </si>
  <si>
    <t>GROSS TOTAL</t>
  </si>
  <si>
    <t>PPF Investments</t>
  </si>
  <si>
    <t>Insurance Policies Premium payments</t>
  </si>
  <si>
    <t>Mutual Fund investments</t>
  </si>
  <si>
    <t>Long Term infra bonds investment</t>
  </si>
  <si>
    <t>Life Insurance Premium payment</t>
  </si>
  <si>
    <t>Children Tution Fees paid</t>
  </si>
  <si>
    <t>Tax saving Fixed Deposit for 5 yrs. or more</t>
  </si>
  <si>
    <t>Dearness allowance (DA)</t>
  </si>
  <si>
    <t>LTA receipt submitted</t>
  </si>
  <si>
    <t>Telephone Reimbursement receipts submitted</t>
  </si>
  <si>
    <t>Car Expenses Reimbursement receipts submitted</t>
  </si>
  <si>
    <t>Internet expense receipts submitted</t>
  </si>
  <si>
    <t>Driver Salary receipts submitted</t>
  </si>
  <si>
    <t>Other Reimbursement receipts submitted</t>
  </si>
  <si>
    <t>`</t>
  </si>
  <si>
    <t>National Savings Certificate (NSC) deposit</t>
  </si>
  <si>
    <t>Senior Citizen Savings Scheme (SCSS) deposit</t>
  </si>
  <si>
    <t>NSC investments</t>
  </si>
  <si>
    <t>NSS Investments</t>
  </si>
  <si>
    <t>SCSS investments</t>
  </si>
  <si>
    <t>Tax saving Fixed deposits for 5 yrs.</t>
  </si>
  <si>
    <t>Pension Fund (80 CCC) investments</t>
  </si>
  <si>
    <t>80DD (Maintainence of depandant disabled)</t>
  </si>
  <si>
    <t>80DDB (Medical treatment for specific diseases)</t>
  </si>
  <si>
    <t>With Severe Disability</t>
  </si>
  <si>
    <t>Without Severe Disability</t>
  </si>
  <si>
    <t>Patient Below 65 years</t>
  </si>
  <si>
    <t>Patient Above 65 years</t>
  </si>
  <si>
    <t>Availing both HRA and Home loan exemption</t>
  </si>
  <si>
    <t>Availing Only Home loan exemption</t>
  </si>
  <si>
    <t>Availing Only HRA Benefit</t>
  </si>
  <si>
    <t>Post Office/Tax saving Bonds investments</t>
  </si>
  <si>
    <t>Payable</t>
  </si>
  <si>
    <t>Paid</t>
  </si>
  <si>
    <t>Difference</t>
  </si>
  <si>
    <t>Income Tax on Total Income</t>
  </si>
  <si>
    <t>Income tax including education cess</t>
  </si>
  <si>
    <t>TDS (Tax deducted at source)</t>
  </si>
  <si>
    <t>Pending Tax Payable</t>
  </si>
  <si>
    <t>Deduction towards Leave availed</t>
  </si>
  <si>
    <t>In Hand Salary</t>
  </si>
  <si>
    <t>In Hand Salary without reimbursments</t>
  </si>
  <si>
    <t>Total Income in this year</t>
  </si>
  <si>
    <t>Equity Tax saver Mutual Funds - ELSS</t>
  </si>
  <si>
    <t>Investment/Bills Details</t>
  </si>
  <si>
    <t>80E (Interest paid on Higher Education Loan)</t>
  </si>
  <si>
    <t>80U (Handicapped person/Perm. Disability)</t>
  </si>
  <si>
    <t>Other Deductions from Employer</t>
  </si>
  <si>
    <t>Super Senior</t>
  </si>
  <si>
    <t>Senior</t>
  </si>
  <si>
    <t>STCG</t>
  </si>
  <si>
    <t>Wrong</t>
  </si>
  <si>
    <t>W/O STCG</t>
  </si>
  <si>
    <t>Uniform/Dress Allowance</t>
  </si>
  <si>
    <t>VPF (Voluntarily Provident Fund) contribution</t>
  </si>
  <si>
    <t>City Compensatory Allowance (CCA)</t>
  </si>
  <si>
    <t>Employer's NPS Contribution</t>
  </si>
  <si>
    <t>Stamp Duty/Registration charges for house</t>
  </si>
  <si>
    <t>Agricultural Income</t>
  </si>
  <si>
    <t>Total Taxable Income</t>
  </si>
  <si>
    <t>Taxable Income rounded off</t>
  </si>
  <si>
    <t>ADVANCE TAX SCHEDULE - NOT APPLICABLE FOR SENIOR CITIZENS</t>
  </si>
  <si>
    <t>Saving bank account interest</t>
  </si>
  <si>
    <t>Other income (Fixed deposit /NSC/SCSS Interest)</t>
  </si>
  <si>
    <t>Professional Development Allowance</t>
  </si>
  <si>
    <t>Prof. Development receipts submitted</t>
  </si>
  <si>
    <t>Non taxable Gratuity</t>
  </si>
  <si>
    <t>Non taxable leave encashment</t>
  </si>
  <si>
    <t>Place of residence</t>
  </si>
  <si>
    <t>Your Name</t>
  </si>
  <si>
    <t>Name</t>
  </si>
  <si>
    <t>Surcharge</t>
  </si>
  <si>
    <t>Income tax including surcharge</t>
  </si>
  <si>
    <t>Total Home loan amount</t>
  </si>
  <si>
    <t>Home Loan taken in 2013-14</t>
  </si>
  <si>
    <t>Home Loan not taken in 2013-14</t>
  </si>
  <si>
    <t>First home loan</t>
  </si>
  <si>
    <t>Not a first home loan</t>
  </si>
  <si>
    <t>Total Tax</t>
  </si>
  <si>
    <t>tax+surcharge</t>
  </si>
  <si>
    <t>margin</t>
  </si>
  <si>
    <t>House Rent Income/Notional rent (income from house property)</t>
  </si>
  <si>
    <t>LTCG from listed equity products/equity MFs</t>
  </si>
  <si>
    <t>STCG not from listed equity products/equity MFs</t>
  </si>
  <si>
    <t>STCG from listed equity products/equity MFs</t>
  </si>
  <si>
    <t>LTCG not from listed equity product/equity MFs s w/o indexation</t>
  </si>
  <si>
    <t>LTCG not from listed equity products/equity MFs with indexation benefits</t>
  </si>
  <si>
    <t>80CCG - RGESS</t>
  </si>
  <si>
    <t>LTCG @ 20%</t>
  </si>
  <si>
    <t>LTCG @ 10%</t>
  </si>
  <si>
    <t>30% slab</t>
  </si>
  <si>
    <t>20% slab</t>
  </si>
  <si>
    <t>30% tax</t>
  </si>
  <si>
    <t>20% tax</t>
  </si>
  <si>
    <t>Letout property Home Loan Interest</t>
  </si>
  <si>
    <t>Municipal taxes paid on letout properties</t>
  </si>
  <si>
    <t>Non taxable House rent income-30% ded.</t>
  </si>
  <si>
    <t>Income from Lottery, Crossword Puzzles, prizes etc</t>
  </si>
  <si>
    <t>Income tax after Tax credit</t>
  </si>
  <si>
    <t>Lottery @ 30%</t>
  </si>
  <si>
    <t>GTI</t>
  </si>
  <si>
    <t>x</t>
  </si>
  <si>
    <t>new x</t>
  </si>
  <si>
    <t>y</t>
  </si>
  <si>
    <t>TI</t>
  </si>
  <si>
    <t>new y</t>
  </si>
  <si>
    <t>partbti</t>
  </si>
  <si>
    <t>exemption limit</t>
  </si>
  <si>
    <t>totalltcg</t>
  </si>
  <si>
    <t>15 % taxable</t>
  </si>
  <si>
    <t>Special</t>
  </si>
  <si>
    <t>30% taxable</t>
  </si>
  <si>
    <t>displayincome</t>
  </si>
  <si>
    <t>spincome</t>
  </si>
  <si>
    <t>exm+agri</t>
  </si>
  <si>
    <t>senior tax</t>
  </si>
  <si>
    <t>super senior tax</t>
  </si>
  <si>
    <t>male tax</t>
  </si>
  <si>
    <t>female tax</t>
  </si>
  <si>
    <t>special tax</t>
  </si>
  <si>
    <t>Normal tax</t>
  </si>
  <si>
    <t>Total tax</t>
  </si>
  <si>
    <t>Total tax +credit</t>
  </si>
  <si>
    <t>final tax</t>
  </si>
  <si>
    <t>Self occup. Home Loan Interest Component</t>
  </si>
  <si>
    <t>Tax credit u/s 87A</t>
  </si>
  <si>
    <t>During Service</t>
  </si>
  <si>
    <t>At leaving Service</t>
  </si>
  <si>
    <t>Home loan interest exemption u/s 80EE</t>
  </si>
  <si>
    <t>Employer NPS deduction u/s 80CCD(2)</t>
  </si>
  <si>
    <t>National Savings Scheme (NSS) deposit</t>
  </si>
  <si>
    <t>Payable upto 15th September</t>
  </si>
  <si>
    <t>Payable upto 15th December</t>
  </si>
  <si>
    <t>Payable upto 15th March</t>
  </si>
  <si>
    <t>Total Deductions u/s 80C, 80CCC, 80CCD</t>
  </si>
  <si>
    <t>PPF (Public Provident Fund) or SSAS</t>
  </si>
  <si>
    <t>NPS/APY Deposit 80CCD</t>
  </si>
  <si>
    <t>Self/Employee's NPS/APY Contribution</t>
  </si>
  <si>
    <t>5% slab</t>
  </si>
  <si>
    <t>5% tax</t>
  </si>
  <si>
    <t>50 lakh tax</t>
  </si>
  <si>
    <t>1 cr tax</t>
  </si>
  <si>
    <t>Surcharge-15</t>
  </si>
  <si>
    <t>Surcharge-10</t>
  </si>
  <si>
    <t>Marginal Rel</t>
  </si>
  <si>
    <t>Surcharge after Marginal Rel</t>
  </si>
  <si>
    <t>1 cr surcharge</t>
  </si>
  <si>
    <t>Income Tax Calculator F.Y. 2018-19 (AY 2019-20)</t>
  </si>
  <si>
    <t>Standard Deduction (40,000)</t>
  </si>
  <si>
    <t>Education Cess @ 4%</t>
  </si>
  <si>
    <t>80D (Medical ins prem for Parents/Sr. Citizens)</t>
  </si>
  <si>
    <t>Insured below 60 years</t>
  </si>
  <si>
    <t>Insured above 60 years</t>
  </si>
  <si>
    <t>80D (Medical ins prem for Self and/or Family all below 60 yrs)</t>
  </si>
  <si>
    <t>Non taxable Equity LTCG</t>
  </si>
  <si>
    <t>Interest deduction u/s 80TTA/B</t>
  </si>
  <si>
    <t>Payable upto 15th June</t>
  </si>
  <si>
    <t>Details of Salary paid and any other income and tax deducted</t>
  </si>
  <si>
    <t>Gross Salary</t>
  </si>
  <si>
    <t>(a) Salary as per provisions contained in sec.
17(1)</t>
  </si>
  <si>
    <t>(b) Value of perquisites u/s 17(2) (as per Form
No.12BA, wherever applicable)</t>
  </si>
  <si>
    <t>(c) Profits in lieu of salary under section 17(3)(as
per Form No.12BA, wherever applicable)</t>
  </si>
  <si>
    <t>(d) Total</t>
  </si>
  <si>
    <t>Rs.</t>
  </si>
  <si>
    <t>Less :Allowance to the extent exempt u/s 10</t>
  </si>
  <si>
    <t>(a) HRA Exemption</t>
  </si>
  <si>
    <t>(c) Total</t>
  </si>
  <si>
    <t>Balance 1-2</t>
  </si>
  <si>
    <t>Deductions :</t>
  </si>
  <si>
    <t>(a) Entertainment allowance</t>
  </si>
  <si>
    <t>(b) Tax on employment</t>
  </si>
  <si>
    <t>Aggregate of 4(a) and (b)</t>
  </si>
  <si>
    <t>Income chargeable under the head ‘Salaries’ (3-5)</t>
  </si>
  <si>
    <t>Add: Any other income reported by the employee</t>
  </si>
  <si>
    <t>Gross total income (6+7)</t>
  </si>
  <si>
    <t>(a) Income From House Property</t>
  </si>
  <si>
    <t>Deductions under Chapter VI-A</t>
  </si>
  <si>
    <t>(A) sections 80C, 80CCC and 80CCD</t>
  </si>
  <si>
    <t>Rs</t>
  </si>
  <si>
    <t>Gross Amount</t>
  </si>
  <si>
    <t>Deductible Amount</t>
  </si>
  <si>
    <t>(b) section 80CCC</t>
  </si>
  <si>
    <t>(c) section 80CCD</t>
  </si>
  <si>
    <t>(B) Other sections (e.g. 80E, 80G, 80TTA, etc.) under Chapter VI-A.</t>
  </si>
  <si>
    <t>Deductible amount</t>
  </si>
  <si>
    <t>Aggregate of deductible amount under Chapter VI-A</t>
  </si>
  <si>
    <t>Total Income (8-10)</t>
  </si>
  <si>
    <t>Tax on total income</t>
  </si>
  <si>
    <t>Tax Payable (12+13)</t>
  </si>
  <si>
    <t>Less: Relief under section 89 (attach details)</t>
  </si>
  <si>
    <t>Tax payable (14-15)</t>
  </si>
  <si>
    <t>(a) Deductions in respect of specified investments/savings - 80C</t>
  </si>
  <si>
    <t>(i) ELSS</t>
  </si>
  <si>
    <t>(ii) EPF</t>
  </si>
  <si>
    <t>(iii) PPF</t>
  </si>
  <si>
    <t>(v) Stamp duty</t>
  </si>
  <si>
    <t>(c) Child Education Allowance</t>
  </si>
  <si>
    <t>(d) Gratuity</t>
  </si>
  <si>
    <t>(e) Leave Travel Allowance (LTA)</t>
  </si>
  <si>
    <t>(f) Leave Encashment</t>
  </si>
  <si>
    <t>(g) Total</t>
  </si>
  <si>
    <t>(b) Conveyance allowance</t>
  </si>
  <si>
    <t>(b) Saving bank interest</t>
  </si>
  <si>
    <t>(c) Other taxable income</t>
  </si>
  <si>
    <t>(iv) House Loan principal repay</t>
  </si>
  <si>
    <t>(vi) Life insurance Premium</t>
  </si>
  <si>
    <t>(vii) NSC/NSS deposits</t>
  </si>
  <si>
    <t>(viii) SCSS deposits</t>
  </si>
  <si>
    <t>(ix) Tax saving fixed depoists</t>
  </si>
  <si>
    <t>(x) Children tuituion fees</t>
  </si>
  <si>
    <t>(i) section 80D</t>
  </si>
  <si>
    <t>(ii) section 80DD</t>
  </si>
  <si>
    <t>(iii) section 80DDB</t>
  </si>
  <si>
    <t>(iv) section 80E</t>
  </si>
  <si>
    <t>(v) section 80U</t>
  </si>
  <si>
    <t>(vi) Section 80CCG</t>
  </si>
  <si>
    <t xml:space="preserve">(vii) Employer NPS deduction u/s 80CCD(2) </t>
  </si>
  <si>
    <t>(viii) 80TTA/B</t>
  </si>
  <si>
    <t>Education cess @ 4% (on tax computed at S. No. 12)</t>
  </si>
  <si>
    <t>https://www.thebimabasket.com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</si>
</sst>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2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9"/>
      <name val="Arial Narrow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8"/>
      <name val="Garamond"/>
      <family val="1"/>
    </font>
    <font>
      <b/>
      <sz val="12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</font>
    <font>
      <sz val="12"/>
      <name val="Arial"/>
    </font>
    <font>
      <sz val="10"/>
      <color rgb="FFFF0000"/>
      <name val="Arial"/>
      <family val="2"/>
    </font>
    <font>
      <b/>
      <u/>
      <sz val="16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99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1">
    <xf numFmtId="0" fontId="0" fillId="0" borderId="0" xfId="0"/>
    <xf numFmtId="4" fontId="0" fillId="0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4" fontId="3" fillId="0" borderId="0" xfId="0" applyNumberFormat="1" applyFont="1" applyFill="1" applyProtection="1">
      <protection hidden="1"/>
    </xf>
    <xf numFmtId="0" fontId="6" fillId="0" borderId="0" xfId="0" applyFont="1" applyFill="1" applyProtection="1">
      <protection hidden="1"/>
    </xf>
    <xf numFmtId="165" fontId="6" fillId="0" borderId="0" xfId="0" applyNumberFormat="1" applyFont="1" applyFill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center"/>
      <protection hidden="1"/>
    </xf>
    <xf numFmtId="165" fontId="7" fillId="0" borderId="0" xfId="1" applyNumberFormat="1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5" fontId="8" fillId="0" borderId="0" xfId="1" applyNumberFormat="1" applyFont="1" applyProtection="1">
      <protection hidden="1"/>
    </xf>
    <xf numFmtId="4" fontId="4" fillId="0" borderId="0" xfId="0" applyNumberFormat="1" applyFont="1" applyFill="1" applyProtection="1">
      <protection hidden="1"/>
    </xf>
    <xf numFmtId="0" fontId="4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7" fontId="9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166" fontId="9" fillId="2" borderId="1" xfId="3" applyNumberFormat="1" applyFont="1" applyFill="1" applyBorder="1" applyProtection="1">
      <protection hidden="1"/>
    </xf>
    <xf numFmtId="166" fontId="9" fillId="0" borderId="0" xfId="3" applyNumberFormat="1" applyFont="1" applyFill="1" applyBorder="1" applyProtection="1">
      <protection hidden="1"/>
    </xf>
    <xf numFmtId="166" fontId="9" fillId="3" borderId="1" xfId="3" applyNumberFormat="1" applyFont="1" applyFill="1" applyBorder="1" applyProtection="1">
      <protection hidden="1"/>
    </xf>
    <xf numFmtId="166" fontId="9" fillId="4" borderId="1" xfId="3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hidden="1"/>
    </xf>
    <xf numFmtId="165" fontId="6" fillId="0" borderId="2" xfId="1" applyNumberFormat="1" applyFont="1" applyFill="1" applyBorder="1" applyProtection="1">
      <protection locked="0"/>
    </xf>
    <xf numFmtId="165" fontId="6" fillId="0" borderId="3" xfId="1" applyNumberFormat="1" applyFont="1" applyFill="1" applyBorder="1" applyProtection="1">
      <protection locked="0"/>
    </xf>
    <xf numFmtId="165" fontId="6" fillId="0" borderId="4" xfId="1" applyNumberFormat="1" applyFont="1" applyFill="1" applyBorder="1" applyProtection="1">
      <protection locked="0"/>
    </xf>
    <xf numFmtId="0" fontId="14" fillId="5" borderId="7" xfId="0" applyFont="1" applyFill="1" applyBorder="1" applyAlignment="1" applyProtection="1">
      <alignment vertical="center"/>
      <protection hidden="1"/>
    </xf>
    <xf numFmtId="0" fontId="14" fillId="0" borderId="7" xfId="0" applyNumberFormat="1" applyFont="1" applyFill="1" applyBorder="1" applyAlignment="1" applyProtection="1">
      <alignment horizontal="center" vertical="center"/>
      <protection locked="0" hidden="1"/>
    </xf>
    <xf numFmtId="0" fontId="14" fillId="6" borderId="7" xfId="0" applyFont="1" applyFill="1" applyBorder="1" applyAlignment="1" applyProtection="1">
      <alignment vertical="center" wrapText="1"/>
      <protection hidden="1"/>
    </xf>
    <xf numFmtId="0" fontId="14" fillId="7" borderId="8" xfId="0" applyFont="1" applyFill="1" applyBorder="1" applyAlignment="1" applyProtection="1">
      <alignment vertical="center"/>
      <protection hidden="1"/>
    </xf>
    <xf numFmtId="0" fontId="14" fillId="8" borderId="9" xfId="0" applyFont="1" applyFill="1" applyBorder="1" applyAlignment="1" applyProtection="1">
      <alignment vertical="center"/>
      <protection hidden="1"/>
    </xf>
    <xf numFmtId="165" fontId="15" fillId="0" borderId="7" xfId="1" applyNumberFormat="1" applyFont="1" applyFill="1" applyBorder="1" applyProtection="1">
      <protection locked="0"/>
    </xf>
    <xf numFmtId="165" fontId="14" fillId="0" borderId="10" xfId="1" applyNumberFormat="1" applyFont="1" applyFill="1" applyBorder="1" applyAlignment="1" applyProtection="1">
      <alignment horizontal="center" wrapText="1"/>
      <protection locked="0"/>
    </xf>
    <xf numFmtId="165" fontId="14" fillId="0" borderId="3" xfId="1" applyNumberFormat="1" applyFont="1" applyFill="1" applyBorder="1" applyAlignment="1" applyProtection="1">
      <alignment horizontal="center" wrapText="1"/>
      <protection locked="0"/>
    </xf>
    <xf numFmtId="165" fontId="15" fillId="0" borderId="8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165" fontId="15" fillId="0" borderId="11" xfId="1" applyNumberFormat="1" applyFont="1" applyFill="1" applyBorder="1" applyProtection="1">
      <protection locked="0"/>
    </xf>
    <xf numFmtId="0" fontId="14" fillId="0" borderId="0" xfId="0" applyFont="1" applyFill="1" applyProtection="1">
      <protection hidden="1"/>
    </xf>
    <xf numFmtId="4" fontId="15" fillId="0" borderId="0" xfId="0" applyNumberFormat="1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165" fontId="15" fillId="0" borderId="0" xfId="1" applyNumberFormat="1" applyFont="1" applyProtection="1">
      <protection hidden="1"/>
    </xf>
    <xf numFmtId="165" fontId="15" fillId="0" borderId="2" xfId="1" applyNumberFormat="1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hidden="1"/>
    </xf>
    <xf numFmtId="165" fontId="15" fillId="0" borderId="13" xfId="1" applyNumberFormat="1" applyFont="1" applyFill="1" applyBorder="1" applyProtection="1">
      <protection locked="0"/>
    </xf>
    <xf numFmtId="0" fontId="14" fillId="9" borderId="3" xfId="0" applyFont="1" applyFill="1" applyBorder="1" applyProtection="1">
      <protection hidden="1"/>
    </xf>
    <xf numFmtId="0" fontId="14" fillId="9" borderId="18" xfId="0" applyFont="1" applyFill="1" applyBorder="1" applyProtection="1">
      <protection hidden="1"/>
    </xf>
    <xf numFmtId="0" fontId="14" fillId="9" borderId="11" xfId="0" applyFont="1" applyFill="1" applyBorder="1" applyAlignment="1" applyProtection="1">
      <alignment vertical="center"/>
      <protection hidden="1"/>
    </xf>
    <xf numFmtId="0" fontId="14" fillId="9" borderId="3" xfId="0" applyFont="1" applyFill="1" applyBorder="1" applyAlignment="1" applyProtection="1">
      <alignment wrapText="1"/>
      <protection hidden="1"/>
    </xf>
    <xf numFmtId="165" fontId="14" fillId="9" borderId="3" xfId="1" applyNumberFormat="1" applyFont="1" applyFill="1" applyBorder="1" applyProtection="1">
      <protection hidden="1"/>
    </xf>
    <xf numFmtId="165" fontId="14" fillId="9" borderId="11" xfId="1" applyNumberFormat="1" applyFont="1" applyFill="1" applyBorder="1" applyProtection="1">
      <protection hidden="1"/>
    </xf>
    <xf numFmtId="165" fontId="14" fillId="9" borderId="13" xfId="1" applyNumberFormat="1" applyFont="1" applyFill="1" applyBorder="1" applyProtection="1">
      <protection hidden="1"/>
    </xf>
    <xf numFmtId="165" fontId="14" fillId="9" borderId="19" xfId="1" applyNumberFormat="1" applyFont="1" applyFill="1" applyBorder="1" applyProtection="1">
      <protection hidden="1"/>
    </xf>
    <xf numFmtId="0" fontId="14" fillId="9" borderId="11" xfId="0" applyFont="1" applyFill="1" applyBorder="1" applyProtection="1">
      <protection hidden="1"/>
    </xf>
    <xf numFmtId="165" fontId="14" fillId="9" borderId="2" xfId="1" applyNumberFormat="1" applyFont="1" applyFill="1" applyBorder="1" applyAlignment="1" applyProtection="1">
      <alignment horizontal="left"/>
      <protection hidden="1"/>
    </xf>
    <xf numFmtId="0" fontId="14" fillId="9" borderId="7" xfId="0" applyFont="1" applyFill="1" applyBorder="1" applyProtection="1">
      <protection hidden="1"/>
    </xf>
    <xf numFmtId="9" fontId="15" fillId="9" borderId="3" xfId="5" applyFont="1" applyFill="1" applyBorder="1" applyProtection="1">
      <protection hidden="1"/>
    </xf>
    <xf numFmtId="9" fontId="15" fillId="9" borderId="11" xfId="5" applyFont="1" applyFill="1" applyBorder="1" applyProtection="1">
      <protection hidden="1"/>
    </xf>
    <xf numFmtId="0" fontId="14" fillId="9" borderId="24" xfId="0" applyFont="1" applyFill="1" applyBorder="1" applyProtection="1">
      <protection hidden="1"/>
    </xf>
    <xf numFmtId="0" fontId="14" fillId="9" borderId="25" xfId="0" applyFont="1" applyFill="1" applyBorder="1" applyProtection="1">
      <protection hidden="1"/>
    </xf>
    <xf numFmtId="0" fontId="14" fillId="9" borderId="13" xfId="0" applyFont="1" applyFill="1" applyBorder="1" applyProtection="1">
      <protection hidden="1"/>
    </xf>
    <xf numFmtId="0" fontId="14" fillId="9" borderId="26" xfId="0" applyFont="1" applyFill="1" applyBorder="1" applyProtection="1">
      <protection hidden="1"/>
    </xf>
    <xf numFmtId="165" fontId="14" fillId="9" borderId="25" xfId="1" applyNumberFormat="1" applyFont="1" applyFill="1" applyBorder="1" applyAlignment="1" applyProtection="1">
      <alignment wrapText="1"/>
      <protection hidden="1"/>
    </xf>
    <xf numFmtId="165" fontId="14" fillId="9" borderId="27" xfId="1" applyNumberFormat="1" applyFont="1" applyFill="1" applyBorder="1" applyProtection="1">
      <protection hidden="1"/>
    </xf>
    <xf numFmtId="165" fontId="14" fillId="9" borderId="17" xfId="1" applyNumberFormat="1" applyFont="1" applyFill="1" applyBorder="1" applyProtection="1">
      <protection hidden="1"/>
    </xf>
    <xf numFmtId="0" fontId="14" fillId="9" borderId="28" xfId="0" applyFont="1" applyFill="1" applyBorder="1" applyAlignment="1" applyProtection="1">
      <alignment vertical="center"/>
      <protection hidden="1"/>
    </xf>
    <xf numFmtId="0" fontId="14" fillId="9" borderId="25" xfId="0" applyFont="1" applyFill="1" applyBorder="1" applyAlignment="1" applyProtection="1">
      <alignment vertical="center"/>
      <protection hidden="1"/>
    </xf>
    <xf numFmtId="0" fontId="14" fillId="9" borderId="19" xfId="0" applyFont="1" applyFill="1" applyBorder="1" applyProtection="1">
      <protection hidden="1"/>
    </xf>
    <xf numFmtId="0" fontId="14" fillId="9" borderId="29" xfId="0" applyFont="1" applyFill="1" applyBorder="1" applyProtection="1">
      <protection hidden="1"/>
    </xf>
    <xf numFmtId="0" fontId="14" fillId="9" borderId="28" xfId="0" applyFont="1" applyFill="1" applyBorder="1" applyProtection="1">
      <protection hidden="1"/>
    </xf>
    <xf numFmtId="165" fontId="14" fillId="9" borderId="13" xfId="1" applyNumberFormat="1" applyFont="1" applyFill="1" applyBorder="1" applyAlignment="1" applyProtection="1">
      <alignment wrapText="1"/>
      <protection hidden="1"/>
    </xf>
    <xf numFmtId="0" fontId="14" fillId="9" borderId="3" xfId="0" applyFont="1" applyFill="1" applyBorder="1" applyAlignment="1" applyProtection="1">
      <protection hidden="1"/>
    </xf>
    <xf numFmtId="165" fontId="15" fillId="0" borderId="18" xfId="1" applyNumberFormat="1" applyFont="1" applyFill="1" applyBorder="1" applyProtection="1">
      <protection locked="0"/>
    </xf>
    <xf numFmtId="165" fontId="14" fillId="0" borderId="27" xfId="1" applyNumberFormat="1" applyFont="1" applyFill="1" applyBorder="1" applyAlignment="1" applyProtection="1">
      <alignment horizontal="center" wrapText="1"/>
      <protection locked="0" hidden="1"/>
    </xf>
    <xf numFmtId="0" fontId="0" fillId="0" borderId="0" xfId="0" applyFill="1" applyAlignment="1" applyProtection="1">
      <protection hidden="1"/>
    </xf>
    <xf numFmtId="4" fontId="17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165" fontId="14" fillId="9" borderId="30" xfId="1" applyNumberFormat="1" applyFont="1" applyFill="1" applyBorder="1" applyProtection="1">
      <protection hidden="1"/>
    </xf>
    <xf numFmtId="165" fontId="15" fillId="0" borderId="4" xfId="1" applyNumberFormat="1" applyFont="1" applyFill="1" applyBorder="1" applyProtection="1">
      <protection locked="0"/>
    </xf>
    <xf numFmtId="0" fontId="14" fillId="9" borderId="31" xfId="0" applyFont="1" applyFill="1" applyBorder="1" applyProtection="1">
      <protection hidden="1"/>
    </xf>
    <xf numFmtId="4" fontId="20" fillId="0" borderId="0" xfId="0" applyNumberFormat="1" applyFont="1" applyFill="1" applyProtection="1">
      <protection hidden="1"/>
    </xf>
    <xf numFmtId="165" fontId="15" fillId="0" borderId="8" xfId="1" applyNumberFormat="1" applyFont="1" applyFill="1" applyBorder="1" applyProtection="1">
      <protection hidden="1"/>
    </xf>
    <xf numFmtId="165" fontId="15" fillId="0" borderId="11" xfId="1" applyNumberFormat="1" applyFont="1" applyFill="1" applyBorder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Protection="1">
      <protection hidden="1"/>
    </xf>
    <xf numFmtId="17" fontId="9" fillId="0" borderId="0" xfId="0" applyNumberFormat="1" applyFont="1" applyFill="1" applyProtection="1">
      <protection hidden="1"/>
    </xf>
    <xf numFmtId="0" fontId="9" fillId="0" borderId="0" xfId="0" applyFont="1" applyFill="1" applyAlignment="1" applyProtection="1">
      <alignment horizontal="right"/>
      <protection hidden="1"/>
    </xf>
    <xf numFmtId="4" fontId="20" fillId="10" borderId="0" xfId="0" applyNumberFormat="1" applyFont="1" applyFill="1" applyProtection="1">
      <protection hidden="1"/>
    </xf>
    <xf numFmtId="17" fontId="9" fillId="0" borderId="0" xfId="0" applyNumberFormat="1" applyFont="1" applyAlignment="1" applyProtection="1">
      <alignment horizontal="right"/>
      <protection hidden="1"/>
    </xf>
    <xf numFmtId="165" fontId="15" fillId="0" borderId="8" xfId="1" applyNumberFormat="1" applyFont="1" applyFill="1" applyBorder="1" applyProtection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/>
    <xf numFmtId="0" fontId="19" fillId="0" borderId="0" xfId="0" applyFont="1" applyProtection="1">
      <protection hidden="1"/>
    </xf>
    <xf numFmtId="0" fontId="19" fillId="0" borderId="0" xfId="0" applyFont="1" applyProtection="1">
      <protection locked="0"/>
    </xf>
    <xf numFmtId="4" fontId="21" fillId="0" borderId="14" xfId="4" applyNumberFormat="1" applyFont="1" applyFill="1" applyBorder="1" applyAlignment="1" applyProtection="1">
      <alignment horizontal="center" vertical="center"/>
      <protection hidden="1"/>
    </xf>
    <xf numFmtId="165" fontId="14" fillId="0" borderId="6" xfId="1" applyNumberFormat="1" applyFont="1" applyFill="1" applyBorder="1" applyAlignment="1" applyProtection="1">
      <alignment horizontal="center"/>
      <protection locked="0" hidden="1"/>
    </xf>
    <xf numFmtId="165" fontId="14" fillId="0" borderId="0" xfId="1" applyNumberFormat="1" applyFont="1" applyFill="1" applyBorder="1" applyAlignment="1" applyProtection="1">
      <alignment horizontal="center"/>
      <protection locked="0" hidden="1"/>
    </xf>
    <xf numFmtId="165" fontId="12" fillId="0" borderId="33" xfId="1" applyNumberFormat="1" applyFont="1" applyFill="1" applyBorder="1" applyAlignment="1" applyProtection="1">
      <alignment horizontal="center"/>
      <protection locked="0" hidden="1"/>
    </xf>
    <xf numFmtId="165" fontId="12" fillId="0" borderId="34" xfId="1" applyNumberFormat="1" applyFont="1" applyFill="1" applyBorder="1" applyAlignment="1" applyProtection="1">
      <alignment horizontal="center"/>
      <protection locked="0" hidden="1"/>
    </xf>
    <xf numFmtId="4" fontId="14" fillId="9" borderId="17" xfId="0" applyNumberFormat="1" applyFont="1" applyFill="1" applyBorder="1" applyAlignment="1" applyProtection="1">
      <alignment horizontal="right"/>
      <protection hidden="1"/>
    </xf>
    <xf numFmtId="4" fontId="14" fillId="9" borderId="32" xfId="0" applyNumberFormat="1" applyFont="1" applyFill="1" applyBorder="1" applyAlignment="1" applyProtection="1">
      <alignment horizontal="right"/>
      <protection hidden="1"/>
    </xf>
    <xf numFmtId="4" fontId="14" fillId="9" borderId="27" xfId="0" applyNumberFormat="1" applyFont="1" applyFill="1" applyBorder="1" applyAlignment="1" applyProtection="1">
      <alignment horizontal="right"/>
      <protection hidden="1"/>
    </xf>
    <xf numFmtId="4" fontId="16" fillId="0" borderId="14" xfId="4" applyNumberFormat="1" applyFont="1" applyFill="1" applyBorder="1" applyAlignment="1" applyProtection="1">
      <alignment horizontal="center" vertical="center"/>
      <protection hidden="1"/>
    </xf>
    <xf numFmtId="0" fontId="13" fillId="11" borderId="17" xfId="0" applyFont="1" applyFill="1" applyBorder="1" applyAlignment="1" applyProtection="1">
      <alignment horizontal="center"/>
      <protection hidden="1"/>
    </xf>
    <xf numFmtId="0" fontId="13" fillId="11" borderId="32" xfId="0" applyFont="1" applyFill="1" applyBorder="1" applyAlignment="1" applyProtection="1">
      <alignment horizontal="center"/>
      <protection hidden="1"/>
    </xf>
    <xf numFmtId="0" fontId="13" fillId="11" borderId="27" xfId="0" applyFont="1" applyFill="1" applyBorder="1" applyAlignment="1" applyProtection="1">
      <alignment horizontal="center"/>
      <protection hidden="1"/>
    </xf>
    <xf numFmtId="4" fontId="5" fillId="12" borderId="22" xfId="0" applyNumberFormat="1" applyFont="1" applyFill="1" applyBorder="1" applyAlignment="1" applyProtection="1">
      <alignment horizontal="center" vertical="center"/>
      <protection hidden="1"/>
    </xf>
    <xf numFmtId="4" fontId="5" fillId="12" borderId="12" xfId="0" applyNumberFormat="1" applyFont="1" applyFill="1" applyBorder="1" applyAlignment="1" applyProtection="1">
      <alignment horizontal="center" vertical="center"/>
      <protection hidden="1"/>
    </xf>
    <xf numFmtId="4" fontId="5" fillId="12" borderId="14" xfId="0" applyNumberFormat="1" applyFont="1" applyFill="1" applyBorder="1" applyAlignment="1" applyProtection="1">
      <alignment horizontal="center" vertical="center"/>
      <protection hidden="1"/>
    </xf>
    <xf numFmtId="4" fontId="5" fillId="12" borderId="8" xfId="0" applyNumberFormat="1" applyFont="1" applyFill="1" applyBorder="1" applyAlignment="1" applyProtection="1">
      <alignment horizontal="center" vertical="center"/>
      <protection hidden="1"/>
    </xf>
    <xf numFmtId="4" fontId="5" fillId="12" borderId="23" xfId="0" applyNumberFormat="1" applyFont="1" applyFill="1" applyBorder="1" applyAlignment="1" applyProtection="1">
      <alignment horizontal="center" vertical="center"/>
      <protection hidden="1"/>
    </xf>
    <xf numFmtId="0" fontId="0" fillId="12" borderId="9" xfId="0" applyFill="1" applyBorder="1"/>
    <xf numFmtId="3" fontId="16" fillId="13" borderId="23" xfId="4" applyNumberFormat="1" applyFont="1" applyFill="1" applyBorder="1" applyAlignment="1" applyProtection="1">
      <alignment horizontal="center" vertical="center"/>
      <protection hidden="1"/>
    </xf>
    <xf numFmtId="0" fontId="0" fillId="13" borderId="22" xfId="0" applyFill="1" applyBorder="1"/>
    <xf numFmtId="0" fontId="0" fillId="13" borderId="10" xfId="0" applyFill="1" applyBorder="1"/>
    <xf numFmtId="0" fontId="0" fillId="13" borderId="6" xfId="0" applyFill="1" applyBorder="1"/>
    <xf numFmtId="0" fontId="0" fillId="13" borderId="0" xfId="0" applyFill="1"/>
    <xf numFmtId="0" fontId="0" fillId="13" borderId="16" xfId="0" applyFill="1" applyBorder="1"/>
    <xf numFmtId="0" fontId="0" fillId="13" borderId="9" xfId="0" applyFill="1" applyBorder="1"/>
    <xf numFmtId="0" fontId="0" fillId="13" borderId="14" xfId="0" applyFill="1" applyBorder="1"/>
    <xf numFmtId="0" fontId="0" fillId="13" borderId="20" xfId="0" applyFill="1" applyBorder="1"/>
    <xf numFmtId="165" fontId="5" fillId="12" borderId="2" xfId="1" applyNumberFormat="1" applyFont="1" applyFill="1" applyBorder="1" applyProtection="1">
      <protection hidden="1"/>
    </xf>
    <xf numFmtId="165" fontId="5" fillId="12" borderId="3" xfId="1" applyNumberFormat="1" applyFont="1" applyFill="1" applyBorder="1" applyProtection="1">
      <protection hidden="1"/>
    </xf>
    <xf numFmtId="165" fontId="5" fillId="12" borderId="4" xfId="1" applyNumberFormat="1" applyFont="1" applyFill="1" applyBorder="1" applyProtection="1">
      <protection hidden="1"/>
    </xf>
    <xf numFmtId="0" fontId="12" fillId="12" borderId="5" xfId="0" applyFont="1" applyFill="1" applyBorder="1" applyAlignment="1" applyProtection="1">
      <alignment horizontal="center"/>
      <protection hidden="1"/>
    </xf>
    <xf numFmtId="165" fontId="5" fillId="12" borderId="5" xfId="1" applyNumberFormat="1" applyFont="1" applyFill="1" applyBorder="1" applyProtection="1">
      <protection hidden="1"/>
    </xf>
    <xf numFmtId="0" fontId="6" fillId="12" borderId="6" xfId="0" applyFont="1" applyFill="1" applyBorder="1" applyProtection="1">
      <protection hidden="1"/>
    </xf>
    <xf numFmtId="4" fontId="6" fillId="12" borderId="0" xfId="0" applyNumberFormat="1" applyFont="1" applyFill="1" applyBorder="1" applyProtection="1">
      <protection hidden="1"/>
    </xf>
    <xf numFmtId="165" fontId="6" fillId="12" borderId="0" xfId="1" applyNumberFormat="1" applyFont="1" applyFill="1" applyBorder="1" applyProtection="1">
      <protection hidden="1"/>
    </xf>
    <xf numFmtId="165" fontId="5" fillId="12" borderId="15" xfId="1" applyNumberFormat="1" applyFont="1" applyFill="1" applyBorder="1" applyProtection="1">
      <protection hidden="1"/>
    </xf>
    <xf numFmtId="0" fontId="14" fillId="12" borderId="7" xfId="0" applyFont="1" applyFill="1" applyBorder="1" applyProtection="1">
      <protection hidden="1"/>
    </xf>
    <xf numFmtId="4" fontId="15" fillId="12" borderId="0" xfId="0" applyNumberFormat="1" applyFont="1" applyFill="1" applyBorder="1" applyProtection="1">
      <protection hidden="1"/>
    </xf>
    <xf numFmtId="165" fontId="15" fillId="12" borderId="0" xfId="1" applyNumberFormat="1" applyFont="1" applyFill="1" applyBorder="1" applyProtection="1">
      <protection hidden="1"/>
    </xf>
    <xf numFmtId="165" fontId="14" fillId="12" borderId="16" xfId="1" applyNumberFormat="1" applyFont="1" applyFill="1" applyBorder="1" applyProtection="1">
      <protection hidden="1"/>
    </xf>
    <xf numFmtId="165" fontId="14" fillId="12" borderId="7" xfId="1" applyNumberFormat="1" applyFont="1" applyFill="1" applyBorder="1" applyProtection="1">
      <protection hidden="1"/>
    </xf>
    <xf numFmtId="165" fontId="15" fillId="12" borderId="7" xfId="1" applyNumberFormat="1" applyFont="1" applyFill="1" applyBorder="1" applyAlignment="1" applyProtection="1">
      <alignment horizontal="center" vertical="center"/>
      <protection hidden="1"/>
    </xf>
    <xf numFmtId="0" fontId="15" fillId="12" borderId="17" xfId="0" applyFont="1" applyFill="1" applyBorder="1" applyProtection="1">
      <protection hidden="1"/>
    </xf>
    <xf numFmtId="165" fontId="14" fillId="12" borderId="10" xfId="1" applyNumberFormat="1" applyFont="1" applyFill="1" applyBorder="1" applyProtection="1">
      <protection hidden="1"/>
    </xf>
    <xf numFmtId="4" fontId="14" fillId="12" borderId="17" xfId="0" applyNumberFormat="1" applyFont="1" applyFill="1" applyBorder="1" applyProtection="1">
      <protection hidden="1"/>
    </xf>
    <xf numFmtId="165" fontId="14" fillId="12" borderId="20" xfId="1" applyNumberFormat="1" applyFont="1" applyFill="1" applyBorder="1" applyProtection="1">
      <protection hidden="1"/>
    </xf>
    <xf numFmtId="0" fontId="14" fillId="12" borderId="12" xfId="0" applyFont="1" applyFill="1" applyBorder="1" applyProtection="1">
      <protection hidden="1"/>
    </xf>
    <xf numFmtId="0" fontId="14" fillId="12" borderId="23" xfId="0" applyFont="1" applyFill="1" applyBorder="1" applyProtection="1">
      <protection hidden="1"/>
    </xf>
    <xf numFmtId="165" fontId="15" fillId="12" borderId="16" xfId="1" applyNumberFormat="1" applyFont="1" applyFill="1" applyBorder="1" applyProtection="1">
      <protection hidden="1"/>
    </xf>
    <xf numFmtId="165" fontId="5" fillId="12" borderId="7" xfId="1" applyNumberFormat="1" applyFont="1" applyFill="1" applyBorder="1" applyProtection="1">
      <protection hidden="1"/>
    </xf>
    <xf numFmtId="165" fontId="14" fillId="12" borderId="11" xfId="1" applyNumberFormat="1" applyFont="1" applyFill="1" applyBorder="1" applyProtection="1">
      <protection hidden="1"/>
    </xf>
    <xf numFmtId="165" fontId="14" fillId="12" borderId="17" xfId="1" applyNumberFormat="1" applyFont="1" applyFill="1" applyBorder="1" applyAlignment="1" applyProtection="1">
      <alignment horizontal="center" wrapText="1"/>
      <protection hidden="1"/>
    </xf>
    <xf numFmtId="165" fontId="14" fillId="12" borderId="32" xfId="1" applyNumberFormat="1" applyFont="1" applyFill="1" applyBorder="1" applyAlignment="1" applyProtection="1">
      <alignment horizontal="center" wrapText="1"/>
      <protection hidden="1"/>
    </xf>
    <xf numFmtId="165" fontId="14" fillId="12" borderId="2" xfId="1" applyNumberFormat="1" applyFont="1" applyFill="1" applyBorder="1" applyProtection="1">
      <protection hidden="1"/>
    </xf>
    <xf numFmtId="165" fontId="14" fillId="12" borderId="6" xfId="1" applyNumberFormat="1" applyFont="1" applyFill="1" applyBorder="1" applyProtection="1">
      <protection hidden="1"/>
    </xf>
    <xf numFmtId="165" fontId="14" fillId="12" borderId="21" xfId="1" applyNumberFormat="1" applyFont="1" applyFill="1" applyBorder="1" applyProtection="1">
      <protection hidden="1"/>
    </xf>
    <xf numFmtId="165" fontId="14" fillId="12" borderId="18" xfId="1" applyNumberFormat="1" applyFont="1" applyFill="1" applyBorder="1" applyProtection="1">
      <protection hidden="1"/>
    </xf>
    <xf numFmtId="165" fontId="15" fillId="12" borderId="14" xfId="1" applyNumberFormat="1" applyFont="1" applyFill="1" applyBorder="1" applyProtection="1">
      <protection hidden="1"/>
    </xf>
    <xf numFmtId="4" fontId="15" fillId="12" borderId="22" xfId="0" applyNumberFormat="1" applyFont="1" applyFill="1" applyBorder="1" applyProtection="1">
      <protection hidden="1"/>
    </xf>
    <xf numFmtId="165" fontId="15" fillId="12" borderId="22" xfId="1" applyNumberFormat="1" applyFont="1" applyFill="1" applyBorder="1" applyProtection="1">
      <protection hidden="1"/>
    </xf>
    <xf numFmtId="165" fontId="15" fillId="12" borderId="10" xfId="1" applyNumberFormat="1" applyFont="1" applyFill="1" applyBorder="1" applyProtection="1">
      <protection hidden="1"/>
    </xf>
    <xf numFmtId="0" fontId="14" fillId="12" borderId="6" xfId="0" applyFont="1" applyFill="1" applyBorder="1" applyProtection="1">
      <protection hidden="1"/>
    </xf>
    <xf numFmtId="165" fontId="14" fillId="12" borderId="3" xfId="1" applyNumberFormat="1" applyFont="1" applyFill="1" applyBorder="1" applyProtection="1">
      <protection hidden="1"/>
    </xf>
    <xf numFmtId="4" fontId="15" fillId="12" borderId="0" xfId="0" applyNumberFormat="1" applyFont="1" applyFill="1" applyProtection="1">
      <protection hidden="1"/>
    </xf>
    <xf numFmtId="4" fontId="15" fillId="12" borderId="10" xfId="0" applyNumberFormat="1" applyFont="1" applyFill="1" applyBorder="1" applyProtection="1">
      <protection hidden="1"/>
    </xf>
    <xf numFmtId="0" fontId="14" fillId="12" borderId="17" xfId="0" applyFont="1" applyFill="1" applyBorder="1" applyProtection="1">
      <protection hidden="1"/>
    </xf>
    <xf numFmtId="4" fontId="15" fillId="12" borderId="16" xfId="0" applyNumberFormat="1" applyFont="1" applyFill="1" applyBorder="1" applyProtection="1">
      <protection hidden="1"/>
    </xf>
    <xf numFmtId="0" fontId="14" fillId="12" borderId="9" xfId="0" applyFont="1" applyFill="1" applyBorder="1" applyProtection="1">
      <protection hidden="1"/>
    </xf>
    <xf numFmtId="4" fontId="15" fillId="12" borderId="14" xfId="0" applyNumberFormat="1" applyFont="1" applyFill="1" applyBorder="1" applyProtection="1">
      <protection hidden="1"/>
    </xf>
    <xf numFmtId="4" fontId="15" fillId="12" borderId="20" xfId="0" applyNumberFormat="1" applyFont="1" applyFill="1" applyBorder="1" applyProtection="1">
      <protection hidden="1"/>
    </xf>
    <xf numFmtId="0" fontId="14" fillId="12" borderId="6" xfId="0" applyFont="1" applyFill="1" applyBorder="1" applyAlignment="1" applyProtection="1">
      <alignment horizontal="center"/>
      <protection hidden="1"/>
    </xf>
    <xf numFmtId="0" fontId="14" fillId="12" borderId="0" xfId="0" applyFont="1" applyFill="1" applyBorder="1" applyAlignment="1" applyProtection="1">
      <alignment horizontal="center"/>
      <protection hidden="1"/>
    </xf>
    <xf numFmtId="0" fontId="14" fillId="12" borderId="7" xfId="0" applyFont="1" applyFill="1" applyBorder="1" applyAlignment="1" applyProtection="1">
      <alignment horizontal="center"/>
      <protection hidden="1"/>
    </xf>
    <xf numFmtId="165" fontId="14" fillId="12" borderId="7" xfId="1" applyNumberFormat="1" applyFont="1" applyFill="1" applyBorder="1" applyAlignment="1" applyProtection="1">
      <alignment horizontal="center"/>
      <protection hidden="1"/>
    </xf>
  </cellXfs>
  <cellStyles count="6">
    <cellStyle name="Comma" xfId="1" builtinId="3"/>
    <cellStyle name="Comma 2" xfId="2"/>
    <cellStyle name="Comma_Calc_2007-08" xfId="3"/>
    <cellStyle name="Hyperlink" xfId="4" builtinId="8"/>
    <cellStyle name="Normal" xfId="0" builtinId="0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99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gargasa\shwet\Surabhi\British%20Airways\Kevin%20Steele98-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MITA\CIGNA\E_98-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DOCUME~1\DLSONISO\LOCALS~1\Temp\PN_01-02_21May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Priyanka%20Singh\Work%20Area\PCI\02-03\Anthony\Anthon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Priyanka%20Singh/Work%20Area/PCI/02-03/Anthony/Anthon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up_new\Shwet\Singer\Coke%2000-01\Jeff%20Irwin\My%20Documents\SMITA\CIGNA\E_98-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_new/Shwet/Singer/Coke%2000-01/Jeff%20Irwin/My%20Documents/SMITA/CIGNA/E_98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VIKRAM\Cargill-%20PR-98-99\Cargill-%20monthly%20payroll-98-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anismi\smita\My%20Documents\SMITA\CIGNA\E_98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My%20Documents\SMITA\BRIT\Kevin%20Steele97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patankarsh\shilpa\My%20Documents\shilpa\reckitt%20&amp;%20colman\windows\TEMP\BRIT\Kevin%20Steele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Terry\TW_01-02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duaar\Allot_Hasneeta\BNS\FY2001-02\Form%2024\PN_01-02_21May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maheshjk\vishal\CFJV-%20Tax%20Computation%201999-2000%20-final%20final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kaurgu\jacobs\2000-01\Thomas_00_01_FINAL_18ju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5572880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5572880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5572880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5572880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5572880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1645864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1810450.4000000001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1810450.4000000001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 16"/>
    </sheetNames>
    <sheetDataSet>
      <sheetData sheetId="0"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PF</v>
          </cell>
          <cell r="G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</row>
        <row r="71">
          <cell r="C71" t="str">
            <v>(c)LIC</v>
          </cell>
          <cell r="G71" t="str">
            <v xml:space="preserve">Rs. </v>
          </cell>
        </row>
        <row r="72">
          <cell r="C72" t="str">
            <v>(d) NSC Interest</v>
          </cell>
          <cell r="G72" t="str">
            <v xml:space="preserve">Rs. </v>
          </cell>
        </row>
        <row r="73">
          <cell r="C73" t="str">
            <v>(e)BOND</v>
          </cell>
          <cell r="G73" t="str">
            <v xml:space="preserve">Rs. </v>
          </cell>
        </row>
        <row r="74">
          <cell r="C74" t="str">
            <v>(e)UTI MEP'97</v>
          </cell>
          <cell r="G74" t="str">
            <v xml:space="preserve">Rs. </v>
          </cell>
        </row>
        <row r="75">
          <cell r="C75" t="str">
            <v>(f)  TOTAL (a) to (e)</v>
          </cell>
          <cell r="I75">
            <v>0</v>
          </cell>
          <cell r="J75">
            <v>0</v>
          </cell>
        </row>
        <row r="77">
          <cell r="G77" t="str">
            <v>GROSS</v>
          </cell>
          <cell r="I77" t="str">
            <v>QUALIFYING</v>
          </cell>
        </row>
        <row r="78">
          <cell r="C78" t="str">
            <v>II.   Under Section 88A (please specify)</v>
          </cell>
          <cell r="G78" t="str">
            <v>AMOUNT</v>
          </cell>
          <cell r="I78" t="str">
            <v>AMOUNT</v>
          </cell>
        </row>
        <row r="80">
          <cell r="C80" t="str">
            <v>(a)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(b)</v>
          </cell>
          <cell r="G81" t="str">
            <v>Rs.............</v>
          </cell>
          <cell r="I81" t="str">
            <v>Rs.............</v>
          </cell>
        </row>
        <row r="82">
          <cell r="C82" t="str">
            <v>(c)  TOTAL [(a) + (b)]</v>
          </cell>
          <cell r="G82" t="str">
            <v>Rs.............</v>
          </cell>
          <cell r="I82" t="str">
            <v>Rs.............</v>
          </cell>
          <cell r="J82">
            <v>0</v>
          </cell>
        </row>
        <row r="84">
          <cell r="C84" t="str">
            <v>III.  Under Section 89 (attach details)</v>
          </cell>
          <cell r="J84">
            <v>0</v>
          </cell>
        </row>
        <row r="86">
          <cell r="B86" t="str">
            <v>14.</v>
          </cell>
          <cell r="C86" t="str">
            <v>AGGREGATE OF TAX REBATES</v>
          </cell>
        </row>
        <row r="87">
          <cell r="C87" t="str">
            <v xml:space="preserve">AND RELIEF AT 13 ABOVE </v>
          </cell>
        </row>
        <row r="88">
          <cell r="C88" t="str">
            <v>[I(f) + II(c) + III]</v>
          </cell>
          <cell r="K88">
            <v>0</v>
          </cell>
        </row>
        <row r="90">
          <cell r="B90" t="str">
            <v>15.</v>
          </cell>
          <cell r="C90" t="str">
            <v xml:space="preserve">TAX PAYABLE (12-14) AND </v>
          </cell>
          <cell r="J90">
            <v>1300189</v>
          </cell>
        </row>
        <row r="91">
          <cell r="C91" t="str">
            <v>SURCHARGE THEREON</v>
          </cell>
          <cell r="J91">
            <v>26003.78</v>
          </cell>
          <cell r="K91">
            <v>1326192.78</v>
          </cell>
        </row>
        <row r="93">
          <cell r="B93" t="str">
            <v>16.</v>
          </cell>
          <cell r="C93" t="str">
            <v>LESS TAX DEDUCTED AT SOURCE</v>
          </cell>
          <cell r="K93">
            <v>54067</v>
          </cell>
        </row>
        <row r="94">
          <cell r="C94" t="str">
            <v>(Tax paid by the employer u/s 10(5B))</v>
          </cell>
        </row>
        <row r="95">
          <cell r="B95" t="str">
            <v>17.</v>
          </cell>
          <cell r="C95" t="str">
            <v>TAX PAYABLE/REFUNDABLE (15-16)</v>
          </cell>
          <cell r="K95">
            <v>1272125.78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02">
          <cell r="B102">
            <v>1</v>
          </cell>
          <cell r="C102">
            <v>54067</v>
          </cell>
          <cell r="D102">
            <v>36982</v>
          </cell>
          <cell r="G102" t="str">
            <v>SBI Nehru Place, New Delhi</v>
          </cell>
        </row>
        <row r="104">
          <cell r="C104">
            <v>54067</v>
          </cell>
        </row>
        <row r="108">
          <cell r="B108" t="str">
            <v>Certified that a sum of Rs. Fifty Four Thousand Sixty Nine only has been deducted at source and</v>
          </cell>
        </row>
        <row r="109">
          <cell r="B109" t="str">
            <v>paid to the credit of the Central Government. Further certified that the above information is true and correct as per records.</v>
          </cell>
        </row>
        <row r="111">
          <cell r="G111" t="str">
            <v>....................................................................................................</v>
          </cell>
        </row>
        <row r="112">
          <cell r="G112" t="str">
            <v>Signature of the person responsible for deduction of tax</v>
          </cell>
        </row>
        <row r="114">
          <cell r="B114" t="str">
            <v>Place: New Delhi</v>
          </cell>
          <cell r="G114" t="str">
            <v xml:space="preserve">Full Name : </v>
          </cell>
        </row>
        <row r="115">
          <cell r="B115" t="str">
            <v xml:space="preserve">Date:  </v>
          </cell>
          <cell r="G115" t="str">
            <v xml:space="preserve">Designation : </v>
          </cell>
        </row>
        <row r="117">
          <cell r="B117" t="str">
            <v xml:space="preserve">*  See sections 15 and 17 and rule 3. Furnish separate details of value of the perquisites and profits in lieu of or in </v>
          </cell>
        </row>
        <row r="118">
          <cell r="B118" t="str">
            <v>addition to salary or wages.</v>
          </cell>
        </row>
        <row r="121">
          <cell r="B121" t="str">
            <v>As per Income Tax (6th Amendment) Rules, 1991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argill- monthly payroll-98-99"/>
    </sheetNames>
    <definedNames>
      <definedName name="words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itlements"/>
      <sheetName val="samik - dues"/>
      <sheetName val="Samik"/>
      <sheetName val="Samik (3)"/>
      <sheetName val="FORM-16 Samik"/>
      <sheetName val="dividend"/>
      <sheetName val="alok - for f-16"/>
      <sheetName val="FORM-16"/>
      <sheetName val="alok"/>
      <sheetName val="Tax deposits"/>
      <sheetName val="paysl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Cover"/>
    </sheetNames>
    <sheetDataSet>
      <sheetData sheetId="0">
        <row r="9">
          <cell r="B9" t="str">
            <v xml:space="preserve">    Name and Address of the Employer</v>
          </cell>
          <cell r="I9" t="str">
            <v>Name and Designation of the</v>
          </cell>
        </row>
        <row r="10">
          <cell r="I10" t="str">
            <v>Employee</v>
          </cell>
        </row>
        <row r="12">
          <cell r="B12" t="str">
            <v>THE BANK OF NOVA SCOTIA, CANADA</v>
          </cell>
          <cell r="I12" t="str">
            <v>TERRY WATKINS</v>
          </cell>
        </row>
        <row r="13">
          <cell r="B13" t="str">
            <v>DR. GOPAL DAS BHAWAN</v>
          </cell>
          <cell r="I13" t="str">
            <v>SENIOR PROJECT MANAGER</v>
          </cell>
        </row>
        <row r="14">
          <cell r="B14" t="str">
            <v>28, BARAKHAMBA ROAD</v>
          </cell>
        </row>
        <row r="15">
          <cell r="B15" t="str">
            <v xml:space="preserve">    PAN/GIR NO.</v>
          </cell>
          <cell r="E15" t="str">
            <v xml:space="preserve">   TAN</v>
          </cell>
          <cell r="I15" t="str">
            <v>PAN/GIR NO.</v>
          </cell>
        </row>
        <row r="16">
          <cell r="B16" t="str">
            <v>AAACB 1536H</v>
          </cell>
          <cell r="E16" t="str">
            <v>B-3784-E (STI) CRF</v>
          </cell>
          <cell r="I16" t="str">
            <v>AAIPW 4423F</v>
          </cell>
        </row>
        <row r="17">
          <cell r="G17" t="str">
            <v xml:space="preserve">      PERIOD</v>
          </cell>
          <cell r="J17" t="str">
            <v>ASSESSMENT</v>
          </cell>
        </row>
        <row r="18">
          <cell r="B18" t="str">
            <v xml:space="preserve">TDS Circle where Annual Return/Statement under </v>
          </cell>
          <cell r="G18" t="str">
            <v>FROM</v>
          </cell>
          <cell r="I18" t="str">
            <v>TO</v>
          </cell>
          <cell r="J18" t="str">
            <v>YEAR</v>
          </cell>
        </row>
        <row r="19">
          <cell r="B19" t="str">
            <v xml:space="preserve">section 206 is to be filed                   </v>
          </cell>
          <cell r="G19" t="str">
            <v>1 April 2001</v>
          </cell>
          <cell r="I19" t="str">
            <v>31 March 2002</v>
          </cell>
          <cell r="J19" t="str">
            <v>2002-2003</v>
          </cell>
          <cell r="K19" t="str">
            <v xml:space="preserve"> </v>
          </cell>
        </row>
        <row r="22">
          <cell r="B22" t="str">
            <v>DETAILS OF SALARY PAID AND ANY OTHER INCOME AND TAX DEDUCTED</v>
          </cell>
        </row>
        <row r="24">
          <cell r="J24" t="str">
            <v>Rs.</v>
          </cell>
          <cell r="K24" t="str">
            <v>Rs.</v>
          </cell>
        </row>
        <row r="25">
          <cell r="B25" t="str">
            <v>1.</v>
          </cell>
          <cell r="C25" t="str">
            <v xml:space="preserve">GROSS SALARY * </v>
          </cell>
          <cell r="J25">
            <v>9155189.6166619863</v>
          </cell>
        </row>
        <row r="27">
          <cell r="B27" t="str">
            <v>2.</v>
          </cell>
          <cell r="C27" t="str">
            <v>LESS :</v>
          </cell>
          <cell r="D27" t="str">
            <v>Allowance to the extent exempt under</v>
          </cell>
        </row>
        <row r="28">
          <cell r="D28" t="str">
            <v xml:space="preserve">section 10 : </v>
          </cell>
          <cell r="I28">
            <v>0</v>
          </cell>
        </row>
        <row r="30">
          <cell r="B30" t="str">
            <v>3.</v>
          </cell>
          <cell r="C30" t="str">
            <v>BALANCE (1-2)</v>
          </cell>
          <cell r="J30">
            <v>9155189.6166619863</v>
          </cell>
        </row>
        <row r="32">
          <cell r="B32" t="str">
            <v>4.</v>
          </cell>
          <cell r="C32" t="str">
            <v>DEDUCTIONS :</v>
          </cell>
        </row>
        <row r="33">
          <cell r="C33" t="str">
            <v>(a)  Standard deduction</v>
          </cell>
          <cell r="G33" t="str">
            <v xml:space="preserve"> </v>
          </cell>
          <cell r="I33">
            <v>0</v>
          </cell>
        </row>
        <row r="34">
          <cell r="C34" t="str">
            <v>(b)  Entertainment allowance</v>
          </cell>
          <cell r="G34" t="str">
            <v xml:space="preserve"> </v>
          </cell>
        </row>
        <row r="35">
          <cell r="C35" t="str">
            <v>(c)  Tax on Employment</v>
          </cell>
          <cell r="G35" t="str">
            <v xml:space="preserve"> </v>
          </cell>
        </row>
        <row r="37">
          <cell r="B37" t="str">
            <v>5.</v>
          </cell>
          <cell r="C37" t="str">
            <v>AGGREGATE OF 4 (a to c)</v>
          </cell>
          <cell r="I37" t="str">
            <v xml:space="preserve"> </v>
          </cell>
        </row>
        <row r="39">
          <cell r="B39" t="str">
            <v>6.</v>
          </cell>
          <cell r="C39" t="str">
            <v>INCOME CHARGEABLE UNDER</v>
          </cell>
        </row>
        <row r="40">
          <cell r="C40" t="str">
            <v>THE HEAD SALARIES (3-5)</v>
          </cell>
          <cell r="K40">
            <v>9155189.6166619863</v>
          </cell>
        </row>
        <row r="42">
          <cell r="B42" t="str">
            <v>7.</v>
          </cell>
          <cell r="C42" t="str">
            <v>ADD :</v>
          </cell>
          <cell r="D42" t="str">
            <v>Any other income reported by the</v>
          </cell>
        </row>
        <row r="43">
          <cell r="C43" t="str">
            <v>employee</v>
          </cell>
          <cell r="K43">
            <v>0</v>
          </cell>
        </row>
        <row r="45">
          <cell r="B45" t="str">
            <v>8.</v>
          </cell>
          <cell r="C45" t="str">
            <v>GROSS TOTAL INCOME (6+7)</v>
          </cell>
          <cell r="K45">
            <v>9155189.6166619863</v>
          </cell>
        </row>
        <row r="47">
          <cell r="B47" t="str">
            <v>9.</v>
          </cell>
          <cell r="C47" t="str">
            <v>DEDUCTIONS UNDER CHAPTER VI-A</v>
          </cell>
          <cell r="G47" t="str">
            <v>GROSS</v>
          </cell>
          <cell r="I47" t="str">
            <v>QUALIFYING</v>
          </cell>
          <cell r="J47" t="str">
            <v>DEDUCTIBLE</v>
          </cell>
        </row>
        <row r="48">
          <cell r="G48" t="str">
            <v>AMOUNT</v>
          </cell>
          <cell r="I48" t="str">
            <v>AMOUNT</v>
          </cell>
          <cell r="J48" t="str">
            <v>AMOUNT</v>
          </cell>
        </row>
        <row r="50">
          <cell r="C50" t="str">
            <v>(a)</v>
          </cell>
          <cell r="G50" t="str">
            <v>Rs.............</v>
          </cell>
          <cell r="I50" t="str">
            <v>Rs.............</v>
          </cell>
          <cell r="J50" t="str">
            <v>Rs.............</v>
          </cell>
        </row>
        <row r="51">
          <cell r="C51" t="str">
            <v>(b)</v>
          </cell>
          <cell r="G51" t="str">
            <v>Rs.............</v>
          </cell>
          <cell r="I51" t="str">
            <v>Rs.............</v>
          </cell>
          <cell r="J51" t="str">
            <v>Rs.............</v>
          </cell>
        </row>
        <row r="52">
          <cell r="C52" t="str">
            <v>(c)</v>
          </cell>
          <cell r="G52" t="str">
            <v>Rs.............</v>
          </cell>
          <cell r="I52" t="str">
            <v>Rs.............</v>
          </cell>
          <cell r="J52" t="str">
            <v>Rs.............</v>
          </cell>
        </row>
        <row r="53">
          <cell r="C53" t="str">
            <v>(d)</v>
          </cell>
          <cell r="G53" t="str">
            <v>Rs.............</v>
          </cell>
          <cell r="I53" t="str">
            <v>Rs.............</v>
          </cell>
          <cell r="J53" t="str">
            <v>Rs.............</v>
          </cell>
        </row>
        <row r="55">
          <cell r="B55" t="str">
            <v>10.</v>
          </cell>
          <cell r="C55" t="str">
            <v>Aggregate of deductible amount under</v>
          </cell>
          <cell r="K55" t="str">
            <v xml:space="preserve"> </v>
          </cell>
        </row>
        <row r="56">
          <cell r="C56" t="str">
            <v>Chapter VI-A</v>
          </cell>
          <cell r="K56">
            <v>0</v>
          </cell>
        </row>
        <row r="57">
          <cell r="K57" t="str">
            <v xml:space="preserve"> </v>
          </cell>
        </row>
        <row r="58">
          <cell r="B58" t="str">
            <v>11.</v>
          </cell>
          <cell r="C58" t="str">
            <v>TOTAL INCOME (8-10)</v>
          </cell>
          <cell r="E58" t="str">
            <v>(rounded off)</v>
          </cell>
          <cell r="K58">
            <v>9155190</v>
          </cell>
        </row>
        <row r="59">
          <cell r="K59" t="str">
            <v xml:space="preserve"> </v>
          </cell>
        </row>
        <row r="60">
          <cell r="B60" t="str">
            <v>12.</v>
          </cell>
          <cell r="C60" t="str">
            <v>TAX ON TOTAL INCOME</v>
          </cell>
          <cell r="K60">
            <v>2720557</v>
          </cell>
        </row>
        <row r="63">
          <cell r="J63" t="str">
            <v>Rs.</v>
          </cell>
          <cell r="K63" t="str">
            <v>Rs.</v>
          </cell>
        </row>
        <row r="64">
          <cell r="B64" t="str">
            <v>13.</v>
          </cell>
          <cell r="C64" t="str">
            <v>REBATE AND RELIEF UNDER CHAPTER VIII</v>
          </cell>
        </row>
        <row r="66">
          <cell r="G66" t="str">
            <v>GROSS</v>
          </cell>
          <cell r="I66" t="str">
            <v>QUALIFYING</v>
          </cell>
          <cell r="J66" t="str">
            <v>TAX REBATE/</v>
          </cell>
        </row>
        <row r="67">
          <cell r="C67" t="str">
            <v>I.   Under Section 88 (please specify)</v>
          </cell>
          <cell r="G67" t="str">
            <v>AMOUNT</v>
          </cell>
          <cell r="I67" t="str">
            <v>AMOUNT</v>
          </cell>
          <cell r="J67" t="str">
            <v>RELIEF</v>
          </cell>
        </row>
        <row r="69">
          <cell r="C69" t="str">
            <v>(a) LIC</v>
          </cell>
          <cell r="G69" t="str">
            <v xml:space="preserve">Rs. </v>
          </cell>
          <cell r="I69" t="str">
            <v xml:space="preserve">Rs. </v>
          </cell>
        </row>
        <row r="70">
          <cell r="C70" t="str">
            <v>(b) PPF</v>
          </cell>
          <cell r="G70" t="str">
            <v xml:space="preserve">Rs. </v>
          </cell>
          <cell r="I70" t="str">
            <v xml:space="preserve">Rs. </v>
          </cell>
        </row>
        <row r="71">
          <cell r="C71" t="str">
            <v>(c) National Savings Certificates</v>
          </cell>
          <cell r="G71" t="str">
            <v xml:space="preserve">Rs. </v>
          </cell>
          <cell r="I71" t="str">
            <v xml:space="preserve">Rs. </v>
          </cell>
        </row>
        <row r="72">
          <cell r="C72" t="str">
            <v>(d)UTI(s)</v>
          </cell>
          <cell r="G72" t="str">
            <v xml:space="preserve">Rs. </v>
          </cell>
          <cell r="I72" t="str">
            <v xml:space="preserve">Rs. </v>
          </cell>
        </row>
        <row r="73">
          <cell r="C73" t="str">
            <v>(e)</v>
          </cell>
          <cell r="G73" t="str">
            <v xml:space="preserve">Rs. </v>
          </cell>
          <cell r="I73" t="str">
            <v xml:space="preserve">Rs. </v>
          </cell>
        </row>
        <row r="74">
          <cell r="C74" t="str">
            <v>(f)  TOTAL (a) to (e)</v>
          </cell>
          <cell r="G74" t="str">
            <v xml:space="preserve">Rs. </v>
          </cell>
          <cell r="I74" t="str">
            <v xml:space="preserve">Rs. </v>
          </cell>
          <cell r="J74">
            <v>0</v>
          </cell>
        </row>
        <row r="76">
          <cell r="G76" t="str">
            <v>GROSS</v>
          </cell>
          <cell r="I76" t="str">
            <v>QUALIFYING</v>
          </cell>
        </row>
        <row r="77">
          <cell r="C77" t="str">
            <v>II.   Under Section 88A (please specify)</v>
          </cell>
          <cell r="G77" t="str">
            <v>AMOUNT</v>
          </cell>
          <cell r="I77" t="str">
            <v>AMOUNT</v>
          </cell>
        </row>
        <row r="79">
          <cell r="C79" t="str">
            <v>(a)</v>
          </cell>
          <cell r="G79" t="str">
            <v>Rs.............</v>
          </cell>
          <cell r="I79" t="str">
            <v>Rs.............</v>
          </cell>
        </row>
        <row r="80">
          <cell r="C80" t="str">
            <v>(b)</v>
          </cell>
          <cell r="G80" t="str">
            <v>Rs.............</v>
          </cell>
          <cell r="I80" t="str">
            <v>Rs.............</v>
          </cell>
        </row>
        <row r="81">
          <cell r="C81" t="str">
            <v>(c)  TOTAL [(a) + (b)]</v>
          </cell>
          <cell r="G81" t="str">
            <v>Rs.............</v>
          </cell>
          <cell r="I81" t="str">
            <v>Rs.............</v>
          </cell>
          <cell r="J81" t="str">
            <v>Nil</v>
          </cell>
        </row>
        <row r="83">
          <cell r="C83" t="str">
            <v>III.  Under Section 89 (attach details)</v>
          </cell>
          <cell r="J83" t="str">
            <v>Nil</v>
          </cell>
        </row>
        <row r="85">
          <cell r="B85" t="str">
            <v>14.</v>
          </cell>
          <cell r="C85" t="str">
            <v>AGGREGATE OF TAX REBATES</v>
          </cell>
        </row>
        <row r="86">
          <cell r="C86" t="str">
            <v xml:space="preserve">AND RELIEF AT 13 ABOVE </v>
          </cell>
        </row>
        <row r="87">
          <cell r="C87" t="str">
            <v>[I(f) + II(c) + III]</v>
          </cell>
          <cell r="K87">
            <v>0</v>
          </cell>
        </row>
        <row r="89">
          <cell r="B89" t="str">
            <v>15.</v>
          </cell>
          <cell r="C89" t="str">
            <v xml:space="preserve">TAX PAYABLE (12-14) AND </v>
          </cell>
        </row>
        <row r="90">
          <cell r="C90" t="str">
            <v>SURCHARGE THEREON</v>
          </cell>
          <cell r="K90">
            <v>2774968.14</v>
          </cell>
        </row>
        <row r="92">
          <cell r="B92" t="str">
            <v>16.</v>
          </cell>
          <cell r="C92" t="str">
            <v>LESS TAX DEDUCTED AT SOURCE</v>
          </cell>
          <cell r="K92">
            <v>0</v>
          </cell>
        </row>
        <row r="95">
          <cell r="B95" t="str">
            <v>17.</v>
          </cell>
          <cell r="C95" t="str">
            <v>TAX PAYABLE/(REFUNDABLE) (15-16)</v>
          </cell>
          <cell r="K95">
            <v>2774968.14</v>
          </cell>
        </row>
        <row r="98">
          <cell r="B98" t="str">
            <v>DETAILS OF TAX DEDUCTED AND DEPOSITED INTO CENTRAL GOVERNMENT ACCOUNT</v>
          </cell>
        </row>
        <row r="100">
          <cell r="B100" t="str">
            <v>AMOUNT (Rs.)</v>
          </cell>
          <cell r="D100" t="str">
            <v>DATE OF PAYMENT</v>
          </cell>
          <cell r="F100" t="str">
            <v xml:space="preserve">   NAME OF BANK AND BRANCH WHERE TAX DEPOSITED</v>
          </cell>
        </row>
        <row r="117">
          <cell r="C117">
            <v>0</v>
          </cell>
        </row>
        <row r="120">
          <cell r="B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B121" t="str">
            <v>has been deducted and paid to the credit of the Central Government. Further certified that the above information is true and</v>
          </cell>
        </row>
        <row r="122">
          <cell r="B122" t="str">
            <v>correct as per records.</v>
          </cell>
        </row>
        <row r="124">
          <cell r="G124" t="str">
            <v>....................................................................................................</v>
          </cell>
        </row>
        <row r="125">
          <cell r="G125" t="str">
            <v>Signature of the person responsible for deduction of tax</v>
          </cell>
        </row>
        <row r="127">
          <cell r="B127" t="str">
            <v xml:space="preserve">Place: </v>
          </cell>
          <cell r="G127" t="str">
            <v xml:space="preserve">Full Name : </v>
          </cell>
        </row>
        <row r="128">
          <cell r="B128" t="str">
            <v xml:space="preserve">Date:  </v>
          </cell>
          <cell r="G128" t="str">
            <v xml:space="preserve">Designation : </v>
          </cell>
        </row>
        <row r="130">
          <cell r="B130" t="str">
            <v xml:space="preserve">*  See sections 15 and 17 and rule 3. Furnish separate details of value of the perquisites and profits in lieu of or in </v>
          </cell>
        </row>
        <row r="131">
          <cell r="B131" t="str">
            <v>addition to salary or wages.</v>
          </cell>
        </row>
        <row r="134">
          <cell r="B134" t="str">
            <v>As per Income Tax (6th Amendment) Rules, 1991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  <sheetName val="master"/>
      <sheetName val="Notes"/>
      <sheetName val="overseas "/>
      <sheetName val="Indian"/>
      <sheetName val="Cover"/>
      <sheetName val="Ann A"/>
      <sheetName val="Ann B"/>
      <sheetName val="ANN C"/>
      <sheetName val="ann D"/>
      <sheetName val="FORM 3"/>
      <sheetName val="Schedule A"/>
      <sheetName val="Schedule B"/>
      <sheetName val="Schedule C"/>
      <sheetName val="Schedule D"/>
      <sheetName val="Schedule E"/>
      <sheetName val="Schedule F "/>
      <sheetName val="Schedule G"/>
      <sheetName val="Schedule  H"/>
      <sheetName val="Ann E"/>
      <sheetName val="New Form 16"/>
      <sheetName val="Form 12BA"/>
      <sheetName val="Ann-Form 12BA"/>
      <sheetName val="Saral (2)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 t="str">
            <v xml:space="preserve">BANK OF NOVA SCOTIA, </v>
          </cell>
          <cell r="H12" t="str">
            <v>PETER NESBITT</v>
          </cell>
        </row>
        <row r="13">
          <cell r="A13" t="str">
            <v>DR. GOPAL DAS BHAWAN</v>
          </cell>
          <cell r="H13" t="str">
            <v>MANAGER</v>
          </cell>
        </row>
        <row r="14">
          <cell r="A14" t="str">
            <v>28, BARAKHAMBA ROAD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A16" t="str">
            <v>AAACB 1536H</v>
          </cell>
          <cell r="D16" t="b">
            <v>0</v>
          </cell>
          <cell r="H16" t="str">
            <v>APPLIED FOR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1 April 2001</v>
          </cell>
          <cell r="H19" t="str">
            <v>31 March 2002</v>
          </cell>
          <cell r="I19" t="str">
            <v>2002-2003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5572690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5572690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5572690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5572690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5572690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1645807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1810387.7000000002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1810387.7000000002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FJV- Tax Computation 1999-2000"/>
    </sheetNames>
    <definedNames>
      <definedName name="words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RM-16"/>
    </sheetNames>
    <sheetDataSet>
      <sheetData sheetId="0">
        <row r="9">
          <cell r="A9" t="str">
            <v xml:space="preserve">    Name and Address of the Employer</v>
          </cell>
          <cell r="H9" t="str">
            <v>Name and Designation of the</v>
          </cell>
        </row>
        <row r="10">
          <cell r="H10" t="str">
            <v>Employee</v>
          </cell>
        </row>
        <row r="12">
          <cell r="A12">
            <v>0</v>
          </cell>
          <cell r="H12">
            <v>0</v>
          </cell>
        </row>
        <row r="13">
          <cell r="A13">
            <v>0</v>
          </cell>
          <cell r="H13" t="str">
            <v>15 April 2000 to 31 March 2001</v>
          </cell>
        </row>
        <row r="14">
          <cell r="A14">
            <v>0</v>
          </cell>
        </row>
        <row r="15">
          <cell r="A15" t="str">
            <v xml:space="preserve">    PAN/GIR NO.</v>
          </cell>
          <cell r="D15" t="str">
            <v xml:space="preserve">   TAN</v>
          </cell>
          <cell r="H15" t="str">
            <v>PAN/GIR NO.</v>
          </cell>
        </row>
        <row r="16">
          <cell r="D16">
            <v>0</v>
          </cell>
          <cell r="H16">
            <v>0</v>
          </cell>
        </row>
        <row r="17">
          <cell r="F17" t="str">
            <v xml:space="preserve">      PERIOD</v>
          </cell>
          <cell r="I17" t="str">
            <v>ASSESSMENT</v>
          </cell>
        </row>
        <row r="18">
          <cell r="A18" t="str">
            <v xml:space="preserve">TDS Circle where Annual Return/Statement under </v>
          </cell>
          <cell r="F18" t="str">
            <v>FROM</v>
          </cell>
          <cell r="H18" t="str">
            <v>TO</v>
          </cell>
          <cell r="I18" t="str">
            <v>YEAR</v>
          </cell>
        </row>
        <row r="19">
          <cell r="A19" t="str">
            <v xml:space="preserve">section 206 is to be filed                   </v>
          </cell>
          <cell r="F19" t="str">
            <v>2001-2002</v>
          </cell>
          <cell r="I19" t="str">
            <v>THOMAS MUDAYANKAVIL</v>
          </cell>
          <cell r="J19" t="str">
            <v xml:space="preserve"> </v>
          </cell>
        </row>
        <row r="22">
          <cell r="A22" t="str">
            <v>DETAILS OF SALARY PAID AND ANY OTHER INCOME AND TAX DEDUCTED</v>
          </cell>
        </row>
        <row r="24">
          <cell r="I24" t="str">
            <v>Rs.</v>
          </cell>
          <cell r="J24" t="str">
            <v>Rs.</v>
          </cell>
        </row>
        <row r="25">
          <cell r="A25" t="str">
            <v>1.</v>
          </cell>
          <cell r="B25" t="str">
            <v xml:space="preserve">GROSS SALARY * </v>
          </cell>
          <cell r="I25">
            <v>4826770</v>
          </cell>
        </row>
        <row r="27">
          <cell r="A27" t="str">
            <v>2.</v>
          </cell>
          <cell r="B27" t="str">
            <v>LESS :</v>
          </cell>
          <cell r="C27" t="str">
            <v>Allowance to the extent exempt under</v>
          </cell>
        </row>
        <row r="28">
          <cell r="C28" t="str">
            <v xml:space="preserve">section 10 : </v>
          </cell>
          <cell r="H28">
            <v>0</v>
          </cell>
        </row>
        <row r="30">
          <cell r="A30" t="str">
            <v>3.</v>
          </cell>
          <cell r="B30" t="str">
            <v>BALANCE (1-2)</v>
          </cell>
          <cell r="I30">
            <v>4826770</v>
          </cell>
        </row>
        <row r="32">
          <cell r="A32" t="str">
            <v>4.</v>
          </cell>
          <cell r="B32" t="str">
            <v>DEDUCTIONS :</v>
          </cell>
        </row>
        <row r="33">
          <cell r="B33" t="str">
            <v>(a)  Standard deduction</v>
          </cell>
          <cell r="F33" t="str">
            <v xml:space="preserve"> </v>
          </cell>
          <cell r="H33">
            <v>0</v>
          </cell>
        </row>
        <row r="34">
          <cell r="B34" t="str">
            <v>(b)  Entertainment allowance</v>
          </cell>
          <cell r="F34" t="str">
            <v xml:space="preserve"> </v>
          </cell>
        </row>
        <row r="35">
          <cell r="B35" t="str">
            <v>(c)  Tax on Employment</v>
          </cell>
          <cell r="F35" t="str">
            <v xml:space="preserve"> </v>
          </cell>
        </row>
        <row r="37">
          <cell r="A37" t="str">
            <v>5.</v>
          </cell>
          <cell r="B37" t="str">
            <v>AGGREGATE OF 4 (a to c)</v>
          </cell>
          <cell r="H37" t="str">
            <v xml:space="preserve"> </v>
          </cell>
        </row>
        <row r="39">
          <cell r="A39" t="str">
            <v>6.</v>
          </cell>
          <cell r="B39" t="str">
            <v>INCOME CHARGEABLE UNDER</v>
          </cell>
        </row>
        <row r="40">
          <cell r="B40" t="str">
            <v>THE HEAD SALARIES (3-5)</v>
          </cell>
          <cell r="J40">
            <v>4826770</v>
          </cell>
        </row>
        <row r="42">
          <cell r="A42" t="str">
            <v>7.</v>
          </cell>
          <cell r="B42" t="str">
            <v>ADD :</v>
          </cell>
          <cell r="C42" t="str">
            <v>Any other income reported by the</v>
          </cell>
        </row>
        <row r="43">
          <cell r="B43" t="str">
            <v>employee</v>
          </cell>
          <cell r="J43">
            <v>0</v>
          </cell>
        </row>
        <row r="45">
          <cell r="A45" t="str">
            <v>8.</v>
          </cell>
          <cell r="B45" t="str">
            <v>GROSS TOTAL INCOME (6+7)</v>
          </cell>
          <cell r="J45">
            <v>4826770</v>
          </cell>
        </row>
        <row r="47">
          <cell r="A47" t="str">
            <v>9.</v>
          </cell>
          <cell r="B47" t="str">
            <v>DEDUCTIONS UNDER CHAPTER VI-A</v>
          </cell>
          <cell r="F47" t="str">
            <v>GROSS</v>
          </cell>
          <cell r="H47" t="str">
            <v>QUALIFYING</v>
          </cell>
          <cell r="I47" t="str">
            <v>DEDUCTIBLE</v>
          </cell>
        </row>
        <row r="48">
          <cell r="F48" t="str">
            <v>AMOUNT</v>
          </cell>
          <cell r="H48" t="str">
            <v>AMOUNT</v>
          </cell>
          <cell r="I48" t="str">
            <v>AMOUNT</v>
          </cell>
        </row>
        <row r="50">
          <cell r="B50" t="str">
            <v>(a)</v>
          </cell>
          <cell r="F50" t="str">
            <v>Rs.............</v>
          </cell>
          <cell r="H50" t="str">
            <v>Rs.............</v>
          </cell>
          <cell r="I50" t="str">
            <v>Rs.............</v>
          </cell>
        </row>
        <row r="51">
          <cell r="B51" t="str">
            <v>(b)</v>
          </cell>
          <cell r="F51" t="str">
            <v>Rs.............</v>
          </cell>
          <cell r="H51" t="str">
            <v>Rs.............</v>
          </cell>
          <cell r="I51" t="str">
            <v>Rs.............</v>
          </cell>
        </row>
        <row r="52">
          <cell r="B52" t="str">
            <v>(c)</v>
          </cell>
          <cell r="F52" t="str">
            <v>Rs.............</v>
          </cell>
          <cell r="H52" t="str">
            <v>Rs.............</v>
          </cell>
          <cell r="I52" t="str">
            <v>Rs.............</v>
          </cell>
        </row>
        <row r="53">
          <cell r="B53" t="str">
            <v>(d)</v>
          </cell>
          <cell r="F53" t="str">
            <v>Rs.............</v>
          </cell>
          <cell r="H53" t="str">
            <v>Rs.............</v>
          </cell>
          <cell r="I53" t="str">
            <v>Rs.............</v>
          </cell>
        </row>
        <row r="55">
          <cell r="A55" t="str">
            <v>10.</v>
          </cell>
          <cell r="B55" t="str">
            <v>Aggregate of deductible amount under</v>
          </cell>
          <cell r="J55" t="str">
            <v xml:space="preserve"> </v>
          </cell>
        </row>
        <row r="56">
          <cell r="B56" t="str">
            <v>Chapter VI-A</v>
          </cell>
          <cell r="J56">
            <v>0</v>
          </cell>
        </row>
        <row r="57">
          <cell r="J57" t="str">
            <v xml:space="preserve"> </v>
          </cell>
        </row>
        <row r="58">
          <cell r="A58" t="str">
            <v>11.</v>
          </cell>
          <cell r="B58" t="str">
            <v>TOTAL INCOME (8-10)</v>
          </cell>
          <cell r="J58">
            <v>4826770</v>
          </cell>
        </row>
        <row r="59">
          <cell r="J59" t="str">
            <v xml:space="preserve"> </v>
          </cell>
        </row>
        <row r="60">
          <cell r="A60" t="str">
            <v>12.</v>
          </cell>
          <cell r="B60" t="str">
            <v>TAX ON TOTAL INCOME</v>
          </cell>
          <cell r="J60">
            <v>1422031</v>
          </cell>
        </row>
        <row r="63">
          <cell r="I63" t="str">
            <v>Rs.</v>
          </cell>
          <cell r="J63" t="str">
            <v>Rs.</v>
          </cell>
        </row>
        <row r="64">
          <cell r="A64" t="str">
            <v>13.</v>
          </cell>
          <cell r="B64" t="str">
            <v>REBATE AND RELIEF UNDER CHAPTER VIII</v>
          </cell>
        </row>
        <row r="66">
          <cell r="F66" t="str">
            <v>GROSS</v>
          </cell>
          <cell r="H66" t="str">
            <v>QUALIFYING</v>
          </cell>
          <cell r="I66" t="str">
            <v>TAX REBATE/</v>
          </cell>
        </row>
        <row r="67">
          <cell r="B67" t="str">
            <v>I.   Under Section 88 (please specify)</v>
          </cell>
          <cell r="F67" t="str">
            <v>AMOUNT</v>
          </cell>
          <cell r="H67" t="str">
            <v>AMOUNT</v>
          </cell>
          <cell r="I67" t="str">
            <v>RELIEF</v>
          </cell>
        </row>
        <row r="69">
          <cell r="B69" t="str">
            <v>(a) LIC</v>
          </cell>
          <cell r="F69" t="str">
            <v xml:space="preserve">Rs. </v>
          </cell>
          <cell r="H69" t="str">
            <v xml:space="preserve">Rs. </v>
          </cell>
        </row>
        <row r="70">
          <cell r="B70" t="str">
            <v>(b) PPF</v>
          </cell>
          <cell r="F70" t="str">
            <v xml:space="preserve">Rs. </v>
          </cell>
          <cell r="H70" t="str">
            <v xml:space="preserve">Rs. </v>
          </cell>
        </row>
        <row r="71">
          <cell r="B71" t="str">
            <v>(c) National Savings Certificates</v>
          </cell>
          <cell r="F71" t="str">
            <v xml:space="preserve">Rs. </v>
          </cell>
          <cell r="H71" t="str">
            <v xml:space="preserve">Rs. </v>
          </cell>
        </row>
        <row r="72">
          <cell r="B72" t="str">
            <v>(d)UTI(s)</v>
          </cell>
          <cell r="F72" t="str">
            <v xml:space="preserve">Rs. </v>
          </cell>
          <cell r="H72" t="str">
            <v xml:space="preserve">Rs. </v>
          </cell>
        </row>
        <row r="73">
          <cell r="B73" t="str">
            <v>(e)</v>
          </cell>
          <cell r="F73" t="str">
            <v xml:space="preserve">Rs. </v>
          </cell>
          <cell r="H73" t="str">
            <v xml:space="preserve">Rs. </v>
          </cell>
        </row>
        <row r="74">
          <cell r="B74" t="str">
            <v>(f)  TOTAL (a) to (e)</v>
          </cell>
          <cell r="F74" t="str">
            <v xml:space="preserve">Rs. </v>
          </cell>
          <cell r="H74" t="str">
            <v xml:space="preserve">Rs. </v>
          </cell>
          <cell r="I74">
            <v>0</v>
          </cell>
        </row>
        <row r="76">
          <cell r="F76" t="str">
            <v>GROSS</v>
          </cell>
          <cell r="H76" t="str">
            <v>QUALIFYING</v>
          </cell>
        </row>
        <row r="77">
          <cell r="B77" t="str">
            <v>II.   Under Section 88A (please specify)</v>
          </cell>
          <cell r="F77" t="str">
            <v>AMOUNT</v>
          </cell>
          <cell r="H77" t="str">
            <v>AMOUNT</v>
          </cell>
        </row>
        <row r="79">
          <cell r="B79" t="str">
            <v>(a)</v>
          </cell>
          <cell r="F79" t="str">
            <v>Rs.............</v>
          </cell>
          <cell r="H79" t="str">
            <v>Rs.............</v>
          </cell>
        </row>
        <row r="80">
          <cell r="B80" t="str">
            <v>(b)</v>
          </cell>
          <cell r="F80" t="str">
            <v>Rs.............</v>
          </cell>
          <cell r="H80" t="str">
            <v>Rs.............</v>
          </cell>
        </row>
        <row r="81">
          <cell r="B81" t="str">
            <v>(c)  TOTAL [(a) + (b)]</v>
          </cell>
          <cell r="F81" t="str">
            <v>Rs.............</v>
          </cell>
          <cell r="H81" t="str">
            <v>Rs.............</v>
          </cell>
          <cell r="I81" t="str">
            <v>Nil</v>
          </cell>
        </row>
        <row r="83">
          <cell r="B83" t="str">
            <v>III.  Under Section 89 (attach details)</v>
          </cell>
          <cell r="I83" t="str">
            <v>Nil</v>
          </cell>
        </row>
        <row r="85">
          <cell r="A85" t="str">
            <v>14.</v>
          </cell>
          <cell r="B85" t="str">
            <v>AGGREGATE OF TAX REBATES</v>
          </cell>
        </row>
        <row r="86">
          <cell r="B86" t="str">
            <v xml:space="preserve">AND RELIEF AT 13 ABOVE </v>
          </cell>
        </row>
        <row r="87">
          <cell r="B87" t="str">
            <v>[I(f) + II(c) + III]</v>
          </cell>
          <cell r="J87">
            <v>0</v>
          </cell>
        </row>
        <row r="89">
          <cell r="A89" t="str">
            <v>15.</v>
          </cell>
          <cell r="B89" t="str">
            <v xml:space="preserve">TAX PAYABLE (12-14) AND </v>
          </cell>
        </row>
        <row r="90">
          <cell r="B90" t="str">
            <v>SURCHARGE THEREON</v>
          </cell>
          <cell r="J90">
            <v>1564234.1</v>
          </cell>
        </row>
        <row r="92">
          <cell r="A92" t="str">
            <v>16.</v>
          </cell>
          <cell r="B92" t="str">
            <v>LESS TAX DEDUCTED AT SOURCE</v>
          </cell>
          <cell r="J92">
            <v>0</v>
          </cell>
        </row>
        <row r="95">
          <cell r="A95" t="str">
            <v>17.</v>
          </cell>
          <cell r="B95" t="str">
            <v>TAX PAYABLE/(REFUNDABLE) (15-16)</v>
          </cell>
          <cell r="J95">
            <v>1564234.1</v>
          </cell>
        </row>
        <row r="98">
          <cell r="A98" t="str">
            <v>DETAILS OF TAX DEDUCTED AND DEPOSITED INTO CENTRAL GOVERNMENT ACCOUNT</v>
          </cell>
        </row>
        <row r="100">
          <cell r="A100" t="str">
            <v>AMOUNT (Rs.)</v>
          </cell>
          <cell r="C100" t="str">
            <v>DATE OF PAYMENT</v>
          </cell>
          <cell r="E100" t="str">
            <v xml:space="preserve">   NAME OF BANK AND BRANCH WHERE TAX DEPOSITED</v>
          </cell>
        </row>
        <row r="117">
          <cell r="B117">
            <v>0</v>
          </cell>
        </row>
        <row r="120">
          <cell r="A120" t="str">
            <v xml:space="preserve">Certified that a sum of Rs. ……………………………………………………………………………………………………………………………………………………………………………………… </v>
          </cell>
        </row>
        <row r="121">
          <cell r="A121" t="str">
            <v>has been deducted and paid to the credit of the Central Government. Further certified that the above information is true and</v>
          </cell>
        </row>
        <row r="122">
          <cell r="A122" t="str">
            <v>correct as per records.</v>
          </cell>
        </row>
        <row r="124">
          <cell r="F124" t="str">
            <v>....................................................................................................</v>
          </cell>
        </row>
        <row r="125">
          <cell r="F125" t="str">
            <v>Signature of the person responsible for deduction of tax</v>
          </cell>
        </row>
        <row r="127">
          <cell r="A127" t="str">
            <v xml:space="preserve">Place: </v>
          </cell>
          <cell r="F127" t="str">
            <v xml:space="preserve">Full Name : </v>
          </cell>
        </row>
        <row r="128">
          <cell r="A128" t="str">
            <v xml:space="preserve">Date:  </v>
          </cell>
          <cell r="F128" t="str">
            <v xml:space="preserve">Designation : </v>
          </cell>
        </row>
        <row r="130">
          <cell r="A130" t="str">
            <v xml:space="preserve">*  See sections 15 and 17 and rule 3. Furnish separate details of value of the perquisites and profits in lieu of or in </v>
          </cell>
        </row>
        <row r="131">
          <cell r="A131" t="str">
            <v>addition to salary or wages.</v>
          </cell>
        </row>
        <row r="134">
          <cell r="A134" t="str">
            <v>As per Income Tax (6th Amendment) Rules, 1991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bimabask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20"/>
  <sheetViews>
    <sheetView showGridLines="0" tabSelected="1" zoomScale="110" zoomScaleNormal="1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1" sqref="E11"/>
    </sheetView>
  </sheetViews>
  <sheetFormatPr defaultColWidth="9.140625" defaultRowHeight="12.75"/>
  <cols>
    <col min="1" max="1" width="0.42578125" style="2" customWidth="1"/>
    <col min="2" max="2" width="34.140625" style="2" customWidth="1"/>
    <col min="3" max="3" width="12" style="1" customWidth="1"/>
    <col min="4" max="4" width="13" style="1" customWidth="1"/>
    <col min="5" max="5" width="13.140625" style="1" customWidth="1"/>
    <col min="6" max="6" width="13.28515625" style="1" customWidth="1"/>
    <col min="7" max="7" width="12.42578125" style="1" customWidth="1"/>
    <col min="8" max="8" width="12.140625" style="1" customWidth="1"/>
    <col min="9" max="9" width="12.42578125" style="1" customWidth="1"/>
    <col min="10" max="10" width="12.7109375" style="1" customWidth="1"/>
    <col min="11" max="15" width="10.85546875" style="1" customWidth="1"/>
    <col min="16" max="16" width="12.7109375" style="1" customWidth="1"/>
    <col min="17" max="17" width="9.85546875" style="2" bestFit="1" customWidth="1"/>
    <col min="18" max="18" width="9.28515625" style="2" bestFit="1" customWidth="1"/>
    <col min="19" max="16384" width="9.140625" style="2"/>
  </cols>
  <sheetData>
    <row r="1" spans="2:16" ht="21" thickBot="1">
      <c r="B1" s="105" t="s">
        <v>289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2:16" s="4" customFormat="1" ht="16.5" thickBot="1">
      <c r="B2" s="106" t="s">
        <v>217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2:16" s="23" customFormat="1" ht="15" customHeight="1" thickBot="1">
      <c r="B3" s="27" t="s">
        <v>49</v>
      </c>
      <c r="C3" s="28" t="s">
        <v>48</v>
      </c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7"/>
    </row>
    <row r="4" spans="2:16" s="23" customFormat="1" ht="15" customHeight="1" thickBot="1">
      <c r="B4" s="29" t="s">
        <v>140</v>
      </c>
      <c r="C4" s="28" t="s">
        <v>139</v>
      </c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</row>
    <row r="5" spans="2:16" s="23" customFormat="1" ht="15" customHeight="1" thickBot="1">
      <c r="B5" s="30" t="s">
        <v>43</v>
      </c>
      <c r="C5" s="28">
        <v>30</v>
      </c>
      <c r="D5" s="11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</row>
    <row r="6" spans="2:16" s="23" customFormat="1" ht="15" customHeight="1" thickBot="1">
      <c r="B6" s="31" t="s">
        <v>0</v>
      </c>
      <c r="C6" s="28">
        <v>0</v>
      </c>
      <c r="D6" s="12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2:16" s="4" customFormat="1">
      <c r="B7" s="113" t="s">
        <v>1</v>
      </c>
      <c r="C7" s="109"/>
      <c r="D7" s="110" t="s">
        <v>2</v>
      </c>
      <c r="E7" s="110" t="s">
        <v>3</v>
      </c>
      <c r="F7" s="110" t="s">
        <v>4</v>
      </c>
      <c r="G7" s="110" t="s">
        <v>5</v>
      </c>
      <c r="H7" s="110" t="s">
        <v>6</v>
      </c>
      <c r="I7" s="110" t="s">
        <v>7</v>
      </c>
      <c r="J7" s="110" t="s">
        <v>8</v>
      </c>
      <c r="K7" s="110" t="s">
        <v>9</v>
      </c>
      <c r="L7" s="110" t="s">
        <v>10</v>
      </c>
      <c r="M7" s="110" t="s">
        <v>11</v>
      </c>
      <c r="N7" s="110" t="s">
        <v>12</v>
      </c>
      <c r="O7" s="110" t="s">
        <v>13</v>
      </c>
      <c r="P7" s="110" t="s">
        <v>14</v>
      </c>
    </row>
    <row r="8" spans="2:16" s="4" customFormat="1" ht="14.25" customHeight="1" thickBot="1">
      <c r="B8" s="114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2:16" s="4" customFormat="1">
      <c r="B9" s="60" t="s">
        <v>56</v>
      </c>
      <c r="C9" s="59"/>
      <c r="D9" s="24">
        <v>0</v>
      </c>
      <c r="E9" s="24">
        <f>D9</f>
        <v>0</v>
      </c>
      <c r="F9" s="24">
        <f t="shared" ref="F9:O9" si="0">E9</f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124">
        <f t="shared" ref="P9:P27" si="1">SUM(D9:O9)</f>
        <v>0</v>
      </c>
    </row>
    <row r="10" spans="2:16" s="4" customFormat="1">
      <c r="B10" s="61" t="s">
        <v>55</v>
      </c>
      <c r="C10" s="59"/>
      <c r="D10" s="25">
        <v>0</v>
      </c>
      <c r="E10" s="25">
        <f t="shared" ref="E10:O14" si="2">D10</f>
        <v>0</v>
      </c>
      <c r="F10" s="25">
        <f t="shared" si="2"/>
        <v>0</v>
      </c>
      <c r="G10" s="25">
        <f t="shared" si="2"/>
        <v>0</v>
      </c>
      <c r="H10" s="25">
        <f t="shared" si="2"/>
        <v>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0</v>
      </c>
      <c r="M10" s="25">
        <f t="shared" si="2"/>
        <v>0</v>
      </c>
      <c r="N10" s="25">
        <f t="shared" si="2"/>
        <v>0</v>
      </c>
      <c r="O10" s="25">
        <f t="shared" si="2"/>
        <v>0</v>
      </c>
      <c r="P10" s="125">
        <f t="shared" si="1"/>
        <v>0</v>
      </c>
    </row>
    <row r="11" spans="2:16" s="4" customFormat="1">
      <c r="B11" s="61" t="s">
        <v>77</v>
      </c>
      <c r="C11" s="59"/>
      <c r="D11" s="25">
        <v>0</v>
      </c>
      <c r="E11" s="25">
        <f t="shared" si="2"/>
        <v>0</v>
      </c>
      <c r="F11" s="25">
        <f t="shared" si="2"/>
        <v>0</v>
      </c>
      <c r="G11" s="25">
        <f t="shared" si="2"/>
        <v>0</v>
      </c>
      <c r="H11" s="25">
        <f t="shared" si="2"/>
        <v>0</v>
      </c>
      <c r="I11" s="25">
        <f t="shared" si="2"/>
        <v>0</v>
      </c>
      <c r="J11" s="25">
        <f t="shared" si="2"/>
        <v>0</v>
      </c>
      <c r="K11" s="25">
        <f t="shared" si="2"/>
        <v>0</v>
      </c>
      <c r="L11" s="25">
        <f>K11</f>
        <v>0</v>
      </c>
      <c r="M11" s="25">
        <f t="shared" si="2"/>
        <v>0</v>
      </c>
      <c r="N11" s="25">
        <f t="shared" si="2"/>
        <v>0</v>
      </c>
      <c r="O11" s="25">
        <f t="shared" si="2"/>
        <v>0</v>
      </c>
      <c r="P11" s="125">
        <f>SUM(D11:O11)</f>
        <v>0</v>
      </c>
    </row>
    <row r="12" spans="2:16" s="4" customFormat="1">
      <c r="B12" s="61" t="s">
        <v>20</v>
      </c>
      <c r="C12" s="59"/>
      <c r="D12" s="25"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0</v>
      </c>
      <c r="I12" s="25">
        <f t="shared" si="2"/>
        <v>0</v>
      </c>
      <c r="J12" s="25">
        <f t="shared" ref="J12:O12" si="3">I12</f>
        <v>0</v>
      </c>
      <c r="K12" s="25">
        <f t="shared" si="3"/>
        <v>0</v>
      </c>
      <c r="L12" s="25">
        <f t="shared" si="3"/>
        <v>0</v>
      </c>
      <c r="M12" s="25">
        <f t="shared" si="3"/>
        <v>0</v>
      </c>
      <c r="N12" s="25">
        <f t="shared" si="3"/>
        <v>0</v>
      </c>
      <c r="O12" s="25">
        <f t="shared" si="3"/>
        <v>0</v>
      </c>
      <c r="P12" s="125">
        <f t="shared" si="1"/>
        <v>0</v>
      </c>
    </row>
    <row r="13" spans="2:16" s="4" customFormat="1">
      <c r="B13" s="61" t="s">
        <v>63</v>
      </c>
      <c r="C13" s="59"/>
      <c r="D13" s="25">
        <v>0</v>
      </c>
      <c r="E13" s="25">
        <f t="shared" si="2"/>
        <v>0</v>
      </c>
      <c r="F13" s="25">
        <f t="shared" si="2"/>
        <v>0</v>
      </c>
      <c r="G13" s="25">
        <f t="shared" si="2"/>
        <v>0</v>
      </c>
      <c r="H13" s="25">
        <f t="shared" si="2"/>
        <v>0</v>
      </c>
      <c r="I13" s="25">
        <f t="shared" si="2"/>
        <v>0</v>
      </c>
      <c r="J13" s="25">
        <f t="shared" ref="J13:O13" si="4">I13</f>
        <v>0</v>
      </c>
      <c r="K13" s="25">
        <f t="shared" si="4"/>
        <v>0</v>
      </c>
      <c r="L13" s="25">
        <f t="shared" si="4"/>
        <v>0</v>
      </c>
      <c r="M13" s="25">
        <f t="shared" si="4"/>
        <v>0</v>
      </c>
      <c r="N13" s="25">
        <f t="shared" si="4"/>
        <v>0</v>
      </c>
      <c r="O13" s="25">
        <f t="shared" si="4"/>
        <v>0</v>
      </c>
      <c r="P13" s="125">
        <f t="shared" si="1"/>
        <v>0</v>
      </c>
    </row>
    <row r="14" spans="2:16" s="4" customFormat="1">
      <c r="B14" s="61" t="s">
        <v>125</v>
      </c>
      <c r="C14" s="59"/>
      <c r="D14" s="25"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ref="J14:O14" si="5">I14</f>
        <v>0</v>
      </c>
      <c r="K14" s="25">
        <f t="shared" si="5"/>
        <v>0</v>
      </c>
      <c r="L14" s="25">
        <f t="shared" si="5"/>
        <v>0</v>
      </c>
      <c r="M14" s="25">
        <f t="shared" si="5"/>
        <v>0</v>
      </c>
      <c r="N14" s="25">
        <f t="shared" si="5"/>
        <v>0</v>
      </c>
      <c r="O14" s="25">
        <f t="shared" si="5"/>
        <v>0</v>
      </c>
      <c r="P14" s="125">
        <f>SUM(D14:O14)</f>
        <v>0</v>
      </c>
    </row>
    <row r="15" spans="2:16" s="4" customFormat="1">
      <c r="B15" s="61" t="s">
        <v>34</v>
      </c>
      <c r="C15" s="5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>
        <v>0</v>
      </c>
      <c r="P15" s="125">
        <f t="shared" si="1"/>
        <v>0</v>
      </c>
    </row>
    <row r="16" spans="2:16" s="4" customFormat="1">
      <c r="B16" s="61" t="s">
        <v>46</v>
      </c>
      <c r="C16" s="5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25">
        <f>SUM(D16:O16)</f>
        <v>0</v>
      </c>
    </row>
    <row r="17" spans="2:16" s="4" customFormat="1">
      <c r="B17" s="61" t="s">
        <v>57</v>
      </c>
      <c r="C17" s="5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25">
        <f t="shared" si="1"/>
        <v>0</v>
      </c>
    </row>
    <row r="18" spans="2:16" s="4" customFormat="1">
      <c r="B18" s="61" t="s">
        <v>15</v>
      </c>
      <c r="C18" s="5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25">
        <f t="shared" si="1"/>
        <v>0</v>
      </c>
    </row>
    <row r="19" spans="2:16" s="4" customFormat="1">
      <c r="B19" s="61" t="s">
        <v>54</v>
      </c>
      <c r="C19" s="59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25">
        <f t="shared" si="1"/>
        <v>0</v>
      </c>
    </row>
    <row r="20" spans="2:16" s="4" customFormat="1">
      <c r="B20" s="61" t="s">
        <v>16</v>
      </c>
      <c r="C20" s="59"/>
      <c r="D20" s="25">
        <v>0</v>
      </c>
      <c r="E20" s="25">
        <f t="shared" ref="E20:O27" si="6">D20</f>
        <v>0</v>
      </c>
      <c r="F20" s="25">
        <f t="shared" si="6"/>
        <v>0</v>
      </c>
      <c r="G20" s="25">
        <f t="shared" si="6"/>
        <v>0</v>
      </c>
      <c r="H20" s="25">
        <f t="shared" si="6"/>
        <v>0</v>
      </c>
      <c r="I20" s="25">
        <f t="shared" si="6"/>
        <v>0</v>
      </c>
      <c r="J20" s="25">
        <f t="shared" si="6"/>
        <v>0</v>
      </c>
      <c r="K20" s="25">
        <f t="shared" si="6"/>
        <v>0</v>
      </c>
      <c r="L20" s="25">
        <f t="shared" si="6"/>
        <v>0</v>
      </c>
      <c r="M20" s="25">
        <f t="shared" si="6"/>
        <v>0</v>
      </c>
      <c r="N20" s="25">
        <f t="shared" si="6"/>
        <v>0</v>
      </c>
      <c r="O20" s="25">
        <f t="shared" si="6"/>
        <v>0</v>
      </c>
      <c r="P20" s="125">
        <f t="shared" si="1"/>
        <v>0</v>
      </c>
    </row>
    <row r="21" spans="2:16" s="4" customFormat="1">
      <c r="B21" s="61" t="s">
        <v>58</v>
      </c>
      <c r="C21" s="59"/>
      <c r="D21" s="25">
        <v>0</v>
      </c>
      <c r="E21" s="25">
        <f t="shared" si="6"/>
        <v>0</v>
      </c>
      <c r="F21" s="25">
        <f t="shared" si="6"/>
        <v>0</v>
      </c>
      <c r="G21" s="25">
        <f t="shared" si="6"/>
        <v>0</v>
      </c>
      <c r="H21" s="25">
        <f t="shared" si="6"/>
        <v>0</v>
      </c>
      <c r="I21" s="25">
        <f t="shared" si="6"/>
        <v>0</v>
      </c>
      <c r="J21" s="25">
        <f t="shared" si="6"/>
        <v>0</v>
      </c>
      <c r="K21" s="25">
        <f t="shared" si="6"/>
        <v>0</v>
      </c>
      <c r="L21" s="25">
        <f t="shared" si="6"/>
        <v>0</v>
      </c>
      <c r="M21" s="25">
        <f t="shared" si="6"/>
        <v>0</v>
      </c>
      <c r="N21" s="25">
        <f t="shared" si="6"/>
        <v>0</v>
      </c>
      <c r="O21" s="25">
        <f t="shared" si="6"/>
        <v>0</v>
      </c>
      <c r="P21" s="125">
        <f>SUM(D21:O21)</f>
        <v>0</v>
      </c>
    </row>
    <row r="22" spans="2:16" s="4" customFormat="1">
      <c r="B22" s="61" t="s">
        <v>123</v>
      </c>
      <c r="C22" s="59"/>
      <c r="D22" s="25"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>
        <f t="shared" si="6"/>
        <v>0</v>
      </c>
      <c r="I22" s="25">
        <f t="shared" si="6"/>
        <v>0</v>
      </c>
      <c r="J22" s="25">
        <f t="shared" si="6"/>
        <v>0</v>
      </c>
      <c r="K22" s="25">
        <f t="shared" si="6"/>
        <v>0</v>
      </c>
      <c r="L22" s="25">
        <f t="shared" si="6"/>
        <v>0</v>
      </c>
      <c r="M22" s="25">
        <f t="shared" si="6"/>
        <v>0</v>
      </c>
      <c r="N22" s="25">
        <f t="shared" si="6"/>
        <v>0</v>
      </c>
      <c r="O22" s="25">
        <f t="shared" si="6"/>
        <v>0</v>
      </c>
      <c r="P22" s="125">
        <f>SUM(D22:O22)</f>
        <v>0</v>
      </c>
    </row>
    <row r="23" spans="2:16" s="4" customFormat="1">
      <c r="B23" s="61" t="s">
        <v>17</v>
      </c>
      <c r="C23" s="59"/>
      <c r="D23" s="25">
        <v>0</v>
      </c>
      <c r="E23" s="25">
        <f t="shared" si="6"/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125">
        <f t="shared" si="1"/>
        <v>0</v>
      </c>
    </row>
    <row r="24" spans="2:16" s="4" customFormat="1">
      <c r="B24" s="61" t="s">
        <v>134</v>
      </c>
      <c r="C24" s="59"/>
      <c r="D24" s="25"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  <c r="H24" s="25">
        <f t="shared" si="6"/>
        <v>0</v>
      </c>
      <c r="I24" s="25">
        <f t="shared" si="6"/>
        <v>0</v>
      </c>
      <c r="J24" s="25">
        <f t="shared" si="6"/>
        <v>0</v>
      </c>
      <c r="K24" s="25">
        <f t="shared" si="6"/>
        <v>0</v>
      </c>
      <c r="L24" s="25">
        <f t="shared" si="6"/>
        <v>0</v>
      </c>
      <c r="M24" s="25">
        <f t="shared" si="6"/>
        <v>0</v>
      </c>
      <c r="N24" s="25">
        <f t="shared" si="6"/>
        <v>0</v>
      </c>
      <c r="O24" s="25">
        <f t="shared" si="6"/>
        <v>0</v>
      </c>
      <c r="P24" s="125">
        <f>SUM(D24:O24)</f>
        <v>0</v>
      </c>
    </row>
    <row r="25" spans="2:16" s="4" customFormat="1">
      <c r="B25" s="61" t="s">
        <v>30</v>
      </c>
      <c r="C25" s="59"/>
      <c r="D25" s="25">
        <v>0</v>
      </c>
      <c r="E25" s="25">
        <f t="shared" si="6"/>
        <v>0</v>
      </c>
      <c r="F25" s="25">
        <f t="shared" si="6"/>
        <v>0</v>
      </c>
      <c r="G25" s="25">
        <f t="shared" si="6"/>
        <v>0</v>
      </c>
      <c r="H25" s="25">
        <f t="shared" si="6"/>
        <v>0</v>
      </c>
      <c r="I25" s="25">
        <f t="shared" si="6"/>
        <v>0</v>
      </c>
      <c r="J25" s="25">
        <f t="shared" si="6"/>
        <v>0</v>
      </c>
      <c r="K25" s="25">
        <f t="shared" si="6"/>
        <v>0</v>
      </c>
      <c r="L25" s="25">
        <f t="shared" si="6"/>
        <v>0</v>
      </c>
      <c r="M25" s="25">
        <f t="shared" si="6"/>
        <v>0</v>
      </c>
      <c r="N25" s="25">
        <f t="shared" si="6"/>
        <v>0</v>
      </c>
      <c r="O25" s="25">
        <f t="shared" si="6"/>
        <v>0</v>
      </c>
      <c r="P25" s="125">
        <f t="shared" si="1"/>
        <v>0</v>
      </c>
    </row>
    <row r="26" spans="2:16" s="4" customFormat="1">
      <c r="B26" s="61" t="s">
        <v>35</v>
      </c>
      <c r="C26" s="59"/>
      <c r="D26" s="25"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  <c r="J26" s="25">
        <f t="shared" si="6"/>
        <v>0</v>
      </c>
      <c r="K26" s="25">
        <f t="shared" si="6"/>
        <v>0</v>
      </c>
      <c r="L26" s="25">
        <f t="shared" si="6"/>
        <v>0</v>
      </c>
      <c r="M26" s="25">
        <f t="shared" si="6"/>
        <v>0</v>
      </c>
      <c r="N26" s="25">
        <f t="shared" si="6"/>
        <v>0</v>
      </c>
      <c r="O26" s="25">
        <f t="shared" si="6"/>
        <v>0</v>
      </c>
      <c r="P26" s="125">
        <f t="shared" si="1"/>
        <v>0</v>
      </c>
    </row>
    <row r="27" spans="2:16" s="4" customFormat="1">
      <c r="B27" s="61" t="s">
        <v>36</v>
      </c>
      <c r="C27" s="59"/>
      <c r="D27" s="25">
        <v>0</v>
      </c>
      <c r="E27" s="25">
        <f t="shared" si="6"/>
        <v>0</v>
      </c>
      <c r="F27" s="25">
        <f t="shared" si="6"/>
        <v>0</v>
      </c>
      <c r="G27" s="25">
        <f t="shared" si="6"/>
        <v>0</v>
      </c>
      <c r="H27" s="25">
        <f t="shared" si="6"/>
        <v>0</v>
      </c>
      <c r="I27" s="25">
        <f t="shared" si="6"/>
        <v>0</v>
      </c>
      <c r="J27" s="25">
        <f t="shared" si="6"/>
        <v>0</v>
      </c>
      <c r="K27" s="25">
        <f t="shared" si="6"/>
        <v>0</v>
      </c>
      <c r="L27" s="25">
        <f t="shared" si="6"/>
        <v>0</v>
      </c>
      <c r="M27" s="25">
        <f t="shared" si="6"/>
        <v>0</v>
      </c>
      <c r="N27" s="25">
        <f t="shared" si="6"/>
        <v>0</v>
      </c>
      <c r="O27" s="25">
        <f t="shared" si="6"/>
        <v>0</v>
      </c>
      <c r="P27" s="125">
        <f t="shared" si="1"/>
        <v>0</v>
      </c>
    </row>
    <row r="28" spans="2:16" s="4" customFormat="1">
      <c r="B28" s="61" t="s">
        <v>41</v>
      </c>
      <c r="C28" s="5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125">
        <f t="shared" ref="P28:P37" si="7">SUM(D28:O28)</f>
        <v>0</v>
      </c>
    </row>
    <row r="29" spans="2:16" s="4" customFormat="1">
      <c r="B29" s="61" t="s">
        <v>42</v>
      </c>
      <c r="C29" s="59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25">
        <f t="shared" si="7"/>
        <v>0</v>
      </c>
    </row>
    <row r="30" spans="2:16" s="4" customFormat="1">
      <c r="B30" s="61" t="s">
        <v>128</v>
      </c>
      <c r="C30" s="5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25">
        <f>SUM(D30:O30)</f>
        <v>0</v>
      </c>
    </row>
    <row r="31" spans="2:16" s="4" customFormat="1">
      <c r="B31" s="61" t="s">
        <v>151</v>
      </c>
      <c r="C31" s="59"/>
      <c r="D31" s="25">
        <v>0</v>
      </c>
      <c r="E31" s="25">
        <f>D31</f>
        <v>0</v>
      </c>
      <c r="F31" s="25">
        <f t="shared" ref="F31:O31" si="8">E31</f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  <c r="J31" s="25">
        <f t="shared" si="8"/>
        <v>0</v>
      </c>
      <c r="K31" s="25">
        <f t="shared" si="8"/>
        <v>0</v>
      </c>
      <c r="L31" s="25">
        <f t="shared" si="8"/>
        <v>0</v>
      </c>
      <c r="M31" s="25">
        <f t="shared" si="8"/>
        <v>0</v>
      </c>
      <c r="N31" s="25">
        <f t="shared" si="8"/>
        <v>0</v>
      </c>
      <c r="O31" s="25">
        <f t="shared" si="8"/>
        <v>0</v>
      </c>
      <c r="P31" s="125">
        <f t="shared" si="7"/>
        <v>0</v>
      </c>
    </row>
    <row r="32" spans="2:16" s="4" customFormat="1">
      <c r="B32" s="61" t="s">
        <v>132</v>
      </c>
      <c r="C32" s="5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26">
        <f>SUM(D32:O32)</f>
        <v>0</v>
      </c>
    </row>
    <row r="33" spans="2:17" s="4" customFormat="1">
      <c r="B33" s="61" t="s">
        <v>133</v>
      </c>
      <c r="C33" s="5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126">
        <f t="shared" si="7"/>
        <v>0</v>
      </c>
    </row>
    <row r="34" spans="2:17" s="4" customFormat="1">
      <c r="B34" s="61" t="s">
        <v>167</v>
      </c>
      <c r="C34" s="59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126">
        <f>SUM(D34:O34)</f>
        <v>0</v>
      </c>
    </row>
    <row r="35" spans="2:17" s="4" customFormat="1">
      <c r="B35" s="61" t="s">
        <v>154</v>
      </c>
      <c r="C35" s="5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126">
        <f t="shared" si="7"/>
        <v>0</v>
      </c>
    </row>
    <row r="36" spans="2:17" s="4" customFormat="1">
      <c r="B36" s="61" t="s">
        <v>153</v>
      </c>
      <c r="C36" s="5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26">
        <f>SUM(D36:O36)</f>
        <v>0</v>
      </c>
    </row>
    <row r="37" spans="2:17" s="4" customFormat="1" ht="13.5" thickBot="1">
      <c r="B37" s="62" t="s">
        <v>152</v>
      </c>
      <c r="C37" s="5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126">
        <f t="shared" si="7"/>
        <v>0</v>
      </c>
    </row>
    <row r="38" spans="2:17" s="4" customFormat="1" ht="14.25" thickTop="1" thickBot="1">
      <c r="B38" s="62" t="s">
        <v>155</v>
      </c>
      <c r="C38" s="5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26">
        <f>SUM(D38:O38)</f>
        <v>0</v>
      </c>
    </row>
    <row r="39" spans="2:17" s="4" customFormat="1" ht="14.25" thickTop="1" thickBot="1">
      <c r="B39" s="62" t="s">
        <v>156</v>
      </c>
      <c r="C39" s="5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126">
        <f>SUM(D39:O39)</f>
        <v>0</v>
      </c>
    </row>
    <row r="40" spans="2:17" s="4" customFormat="1" ht="14.25" thickTop="1" thickBot="1">
      <c r="B40" s="127" t="s">
        <v>45</v>
      </c>
      <c r="C40" s="127"/>
      <c r="D40" s="128">
        <f t="shared" ref="D40:O40" si="9">SUM(D9:D31)</f>
        <v>0</v>
      </c>
      <c r="E40" s="128">
        <f t="shared" si="9"/>
        <v>0</v>
      </c>
      <c r="F40" s="128">
        <f t="shared" si="9"/>
        <v>0</v>
      </c>
      <c r="G40" s="128">
        <f t="shared" si="9"/>
        <v>0</v>
      </c>
      <c r="H40" s="128">
        <f t="shared" si="9"/>
        <v>0</v>
      </c>
      <c r="I40" s="128">
        <f t="shared" si="9"/>
        <v>0</v>
      </c>
      <c r="J40" s="128">
        <f t="shared" si="9"/>
        <v>0</v>
      </c>
      <c r="K40" s="128">
        <f t="shared" si="9"/>
        <v>0</v>
      </c>
      <c r="L40" s="128">
        <f t="shared" si="9"/>
        <v>0</v>
      </c>
      <c r="M40" s="128">
        <f t="shared" si="9"/>
        <v>0</v>
      </c>
      <c r="N40" s="128">
        <f t="shared" si="9"/>
        <v>0</v>
      </c>
      <c r="O40" s="128">
        <f t="shared" si="9"/>
        <v>0</v>
      </c>
      <c r="P40" s="128">
        <f>SUM(P9:P39)+P132</f>
        <v>0</v>
      </c>
    </row>
    <row r="41" spans="2:17" s="4" customFormat="1" ht="14.25" thickTop="1" thickBot="1">
      <c r="B41" s="129"/>
      <c r="C41" s="130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2"/>
    </row>
    <row r="42" spans="2:17" s="4" customFormat="1" ht="13.5" thickBot="1">
      <c r="B42" s="133" t="s">
        <v>59</v>
      </c>
      <c r="C42" s="134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</row>
    <row r="43" spans="2:17" s="4" customFormat="1" ht="13.5" thickBot="1">
      <c r="B43" s="47" t="s">
        <v>18</v>
      </c>
      <c r="C43" s="134"/>
      <c r="D43" s="32"/>
      <c r="E43" s="32">
        <f>D43</f>
        <v>0</v>
      </c>
      <c r="F43" s="32">
        <f t="shared" ref="F43:O44" si="10">E43</f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 t="shared" si="10"/>
        <v>0</v>
      </c>
      <c r="P43" s="137">
        <f>SUM(D43:O43)</f>
        <v>0</v>
      </c>
    </row>
    <row r="44" spans="2:17" s="4" customFormat="1" ht="13.5" thickBot="1">
      <c r="B44" s="80" t="s">
        <v>138</v>
      </c>
      <c r="C44" s="134"/>
      <c r="D44" s="28" t="s">
        <v>51</v>
      </c>
      <c r="E44" s="28" t="str">
        <f>D44</f>
        <v>Metro City</v>
      </c>
      <c r="F44" s="28" t="str">
        <f t="shared" si="10"/>
        <v>Metro City</v>
      </c>
      <c r="G44" s="28" t="str">
        <f t="shared" si="10"/>
        <v>Metro City</v>
      </c>
      <c r="H44" s="28" t="str">
        <f t="shared" si="10"/>
        <v>Metro City</v>
      </c>
      <c r="I44" s="28" t="str">
        <f t="shared" si="10"/>
        <v>Metro City</v>
      </c>
      <c r="J44" s="28" t="str">
        <f t="shared" si="10"/>
        <v>Metro City</v>
      </c>
      <c r="K44" s="28" t="str">
        <f t="shared" si="10"/>
        <v>Metro City</v>
      </c>
      <c r="L44" s="28" t="str">
        <f t="shared" si="10"/>
        <v>Metro City</v>
      </c>
      <c r="M44" s="28" t="str">
        <f t="shared" si="10"/>
        <v>Metro City</v>
      </c>
      <c r="N44" s="28" t="str">
        <f t="shared" si="10"/>
        <v>Metro City</v>
      </c>
      <c r="O44" s="28" t="str">
        <f t="shared" si="10"/>
        <v>Metro City</v>
      </c>
      <c r="P44" s="137"/>
    </row>
    <row r="45" spans="2:17" s="4" customFormat="1" ht="49.5" thickBot="1">
      <c r="B45" s="48" t="s">
        <v>19</v>
      </c>
      <c r="C45" s="74" t="s">
        <v>98</v>
      </c>
      <c r="D45" s="138">
        <f t="shared" ref="D45:O45" si="11">MAX(IF(D44=$C$160,IF(D43&gt;0,MIN(0.4*(D9+D11),(D43-(0.1*(D9+D11))),D10),0),IF(D44=$C$159,IF(D43&gt;0,MIN(0.5*(D9+D11),(D43-(0.1*(D9+D11))),D10),0))),0)</f>
        <v>0</v>
      </c>
      <c r="E45" s="138">
        <f t="shared" si="11"/>
        <v>0</v>
      </c>
      <c r="F45" s="138">
        <f t="shared" si="11"/>
        <v>0</v>
      </c>
      <c r="G45" s="138">
        <f t="shared" si="11"/>
        <v>0</v>
      </c>
      <c r="H45" s="138">
        <f t="shared" si="11"/>
        <v>0</v>
      </c>
      <c r="I45" s="138">
        <f t="shared" si="11"/>
        <v>0</v>
      </c>
      <c r="J45" s="138">
        <f t="shared" si="11"/>
        <v>0</v>
      </c>
      <c r="K45" s="138">
        <f t="shared" si="11"/>
        <v>0</v>
      </c>
      <c r="L45" s="138">
        <f t="shared" si="11"/>
        <v>0</v>
      </c>
      <c r="M45" s="138">
        <f t="shared" si="11"/>
        <v>0</v>
      </c>
      <c r="N45" s="138">
        <f t="shared" si="11"/>
        <v>0</v>
      </c>
      <c r="O45" s="138">
        <f t="shared" si="11"/>
        <v>0</v>
      </c>
      <c r="P45" s="137">
        <f>IF(OR(C45=O160,C45=O159), SUM(D45:O45), 0)</f>
        <v>0</v>
      </c>
      <c r="Q45" s="5"/>
    </row>
    <row r="46" spans="2:17" s="4" customFormat="1" ht="13.5" thickBot="1">
      <c r="B46" s="139"/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40"/>
      <c r="Q46" s="5"/>
    </row>
    <row r="47" spans="2:17" s="4" customFormat="1" ht="13.5" thickBot="1">
      <c r="B47" s="133" t="s">
        <v>44</v>
      </c>
      <c r="C47" s="141" t="s">
        <v>114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42"/>
      <c r="Q47" s="5"/>
    </row>
    <row r="48" spans="2:17" s="4" customFormat="1">
      <c r="B48" s="47" t="s">
        <v>20</v>
      </c>
      <c r="C48" s="33">
        <f>IF(C6=1,MIN(P12,1200),IF(C6=2,MIN(P12,2400),0))</f>
        <v>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24">
        <f>IF(C6=1,MIN(P12,C48,1200),IF(C6=2,MIN(P12,C48,2400),0))</f>
        <v>0</v>
      </c>
    </row>
    <row r="49" spans="2:16" s="4" customFormat="1">
      <c r="B49" s="46" t="s">
        <v>78</v>
      </c>
      <c r="C49" s="34">
        <f>P17</f>
        <v>0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25">
        <f>MIN(P17,C49)</f>
        <v>0</v>
      </c>
    </row>
    <row r="50" spans="2:16" s="4" customFormat="1">
      <c r="B50" s="46" t="s">
        <v>16</v>
      </c>
      <c r="C50" s="34">
        <f t="shared" ref="C50:C57" si="12">P20</f>
        <v>0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25">
        <f t="shared" ref="P50:P57" si="13">MIN(P20,C50)</f>
        <v>0</v>
      </c>
    </row>
    <row r="51" spans="2:16" s="4" customFormat="1">
      <c r="B51" s="46" t="s">
        <v>58</v>
      </c>
      <c r="C51" s="34">
        <f t="shared" si="12"/>
        <v>0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25">
        <f t="shared" si="13"/>
        <v>0</v>
      </c>
    </row>
    <row r="52" spans="2:16" s="4" customFormat="1">
      <c r="B52" s="46" t="s">
        <v>123</v>
      </c>
      <c r="C52" s="34">
        <f t="shared" si="12"/>
        <v>0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25">
        <f t="shared" si="13"/>
        <v>0</v>
      </c>
    </row>
    <row r="53" spans="2:16" s="4" customFormat="1">
      <c r="B53" s="72" t="s">
        <v>79</v>
      </c>
      <c r="C53" s="34">
        <f t="shared" si="12"/>
        <v>0</v>
      </c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25">
        <f t="shared" si="13"/>
        <v>0</v>
      </c>
    </row>
    <row r="54" spans="2:16" s="4" customFormat="1">
      <c r="B54" s="72" t="s">
        <v>135</v>
      </c>
      <c r="C54" s="34">
        <f t="shared" si="12"/>
        <v>0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25">
        <f t="shared" si="13"/>
        <v>0</v>
      </c>
    </row>
    <row r="55" spans="2:16" s="4" customFormat="1">
      <c r="B55" s="72" t="s">
        <v>80</v>
      </c>
      <c r="C55" s="34">
        <f t="shared" si="12"/>
        <v>0</v>
      </c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25">
        <f t="shared" si="13"/>
        <v>0</v>
      </c>
    </row>
    <row r="56" spans="2:16" s="4" customFormat="1">
      <c r="B56" s="49" t="s">
        <v>81</v>
      </c>
      <c r="C56" s="34">
        <f t="shared" si="12"/>
        <v>0</v>
      </c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25">
        <f t="shared" si="13"/>
        <v>0</v>
      </c>
    </row>
    <row r="57" spans="2:16" s="4" customFormat="1">
      <c r="B57" s="49" t="s">
        <v>82</v>
      </c>
      <c r="C57" s="34">
        <f t="shared" si="12"/>
        <v>0</v>
      </c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25">
        <f t="shared" si="13"/>
        <v>0</v>
      </c>
    </row>
    <row r="58" spans="2:16" s="4" customFormat="1" ht="13.5" thickBot="1">
      <c r="B58" s="49" t="s">
        <v>83</v>
      </c>
      <c r="C58" s="35">
        <v>0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25">
        <f>+C58</f>
        <v>0</v>
      </c>
    </row>
    <row r="59" spans="2:16" s="4" customFormat="1" ht="13.5" thickBot="1">
      <c r="B59" s="49" t="s">
        <v>136</v>
      </c>
      <c r="C59" s="35">
        <f>P16</f>
        <v>0</v>
      </c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25">
        <f>MIN(P16,C59,1000000)</f>
        <v>0</v>
      </c>
    </row>
    <row r="60" spans="2:16" s="4" customFormat="1" ht="13.5" thickBot="1">
      <c r="B60" s="49" t="s">
        <v>137</v>
      </c>
      <c r="C60" s="82">
        <f>IF(D60=J160,P18,0)</f>
        <v>0</v>
      </c>
      <c r="D60" s="100" t="s">
        <v>196</v>
      </c>
      <c r="E60" s="101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25">
        <f>MIN(P18,C60,300000)</f>
        <v>0</v>
      </c>
    </row>
    <row r="61" spans="2:16" s="4" customFormat="1" ht="13.5" thickBot="1">
      <c r="B61" s="49" t="s">
        <v>166</v>
      </c>
      <c r="C61" s="35">
        <f>MAX((P31-P69),0)*30%</f>
        <v>0</v>
      </c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25">
        <f>C61</f>
        <v>0</v>
      </c>
    </row>
    <row r="62" spans="2:16" s="4" customFormat="1">
      <c r="B62" s="46" t="s">
        <v>21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25">
        <f>P40-SUM(P45:P61)</f>
        <v>0</v>
      </c>
    </row>
    <row r="63" spans="2:16" s="4" customFormat="1">
      <c r="B63" s="46" t="s">
        <v>22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25">
        <f>+P122</f>
        <v>0</v>
      </c>
    </row>
    <row r="64" spans="2:16" s="4" customFormat="1" ht="13.5" thickBot="1">
      <c r="B64" s="49" t="s">
        <v>224</v>
      </c>
      <c r="C64" s="90">
        <f>MAX(MIN(P37,100000),0)</f>
        <v>0</v>
      </c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25">
        <f>C64</f>
        <v>0</v>
      </c>
    </row>
    <row r="65" spans="2:16" s="4" customFormat="1" ht="13.5" thickBot="1">
      <c r="B65" s="46" t="s">
        <v>23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25">
        <f>P62-P63-P29-P30-IF(P28&gt;50000, 0, P28)-P129-P64</f>
        <v>0</v>
      </c>
    </row>
    <row r="66" spans="2:16" s="4" customFormat="1" ht="13.5" thickBot="1">
      <c r="B66" s="46" t="s">
        <v>143</v>
      </c>
      <c r="C66" s="32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25"/>
    </row>
    <row r="67" spans="2:16" s="4" customFormat="1" ht="13.5" thickBot="1">
      <c r="B67" s="46" t="s">
        <v>194</v>
      </c>
      <c r="C67" s="4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24">
        <f xml:space="preserve"> IF(OR(C45=O161,C45=O159),IF(C67&gt;0,MIN(200000,C67),0), 0)</f>
        <v>0</v>
      </c>
    </row>
    <row r="68" spans="2:16" s="4" customFormat="1" ht="13.5" thickBot="1">
      <c r="B68" s="46" t="s">
        <v>164</v>
      </c>
      <c r="C68" s="45">
        <v>0</v>
      </c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24">
        <f>MAX(MIN((P31-P61-P69)+200000, MAX(C68,0)),0)</f>
        <v>0</v>
      </c>
    </row>
    <row r="69" spans="2:16" s="4" customFormat="1" ht="13.5" thickBot="1">
      <c r="B69" s="46" t="s">
        <v>165</v>
      </c>
      <c r="C69" s="45">
        <v>0</v>
      </c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24">
        <f xml:space="preserve"> IF(P31&gt;0,MIN(P31,C69),0)</f>
        <v>0</v>
      </c>
    </row>
    <row r="70" spans="2:16" s="4" customFormat="1" ht="13.5" thickBot="1">
      <c r="B70" s="143" t="s">
        <v>24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25">
        <f>MAX(P65-P34-P67-P68-P69,0)+P34</f>
        <v>0</v>
      </c>
    </row>
    <row r="71" spans="2:16" s="4" customFormat="1" ht="13.5" thickBot="1">
      <c r="B71" s="144"/>
      <c r="C71" s="134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40"/>
    </row>
    <row r="72" spans="2:16" s="4" customFormat="1" ht="13.5" thickBot="1">
      <c r="B72" s="55" t="s">
        <v>25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45"/>
    </row>
    <row r="73" spans="2:16" s="4" customFormat="1">
      <c r="B73" s="50" t="s">
        <v>74</v>
      </c>
      <c r="C73" s="43">
        <f>Savings!J17</f>
        <v>0</v>
      </c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6"/>
    </row>
    <row r="74" spans="2:16" s="4" customFormat="1">
      <c r="B74" s="50" t="s">
        <v>27</v>
      </c>
      <c r="C74" s="44">
        <f>P123+P125</f>
        <v>0</v>
      </c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6"/>
    </row>
    <row r="75" spans="2:16" s="4" customFormat="1">
      <c r="B75" s="50" t="s">
        <v>205</v>
      </c>
      <c r="C75" s="36">
        <f>Savings!D17</f>
        <v>0</v>
      </c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6"/>
    </row>
    <row r="76" spans="2:16" s="4" customFormat="1">
      <c r="B76" s="50" t="s">
        <v>113</v>
      </c>
      <c r="C76" s="36">
        <f>Savings!M17</f>
        <v>0</v>
      </c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6"/>
    </row>
    <row r="77" spans="2:16" s="4" customFormat="1">
      <c r="B77" s="50" t="s">
        <v>85</v>
      </c>
      <c r="C77" s="36">
        <f>Savings!G33</f>
        <v>0</v>
      </c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6"/>
    </row>
    <row r="78" spans="2:16" s="4" customFormat="1">
      <c r="B78" s="50" t="s">
        <v>200</v>
      </c>
      <c r="C78" s="36">
        <f>Savings!J33</f>
        <v>0</v>
      </c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6"/>
    </row>
    <row r="79" spans="2:16" s="4" customFormat="1">
      <c r="B79" s="50" t="s">
        <v>86</v>
      </c>
      <c r="C79" s="36">
        <f>Savings!M33</f>
        <v>0</v>
      </c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6"/>
    </row>
    <row r="80" spans="2:16" s="4" customFormat="1">
      <c r="B80" s="50" t="s">
        <v>101</v>
      </c>
      <c r="C80" s="36">
        <f>Savings!D48</f>
        <v>0</v>
      </c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6"/>
    </row>
    <row r="81" spans="2:16" s="4" customFormat="1">
      <c r="B81" s="50" t="s">
        <v>75</v>
      </c>
      <c r="C81" s="36">
        <f>Savings!G48</f>
        <v>0</v>
      </c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6"/>
    </row>
    <row r="82" spans="2:16" s="4" customFormat="1">
      <c r="B82" s="50" t="s">
        <v>28</v>
      </c>
      <c r="C82" s="36">
        <f>Savings!J48</f>
        <v>0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6"/>
    </row>
    <row r="83" spans="2:16" s="4" customFormat="1">
      <c r="B83" s="50" t="s">
        <v>76</v>
      </c>
      <c r="C83" s="36">
        <f>Savings!M48</f>
        <v>0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6"/>
    </row>
    <row r="84" spans="2:16" s="4" customFormat="1">
      <c r="B84" s="50" t="s">
        <v>127</v>
      </c>
      <c r="C84" s="36">
        <v>0</v>
      </c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6"/>
    </row>
    <row r="85" spans="2:16" s="4" customFormat="1" ht="13.5" thickBot="1">
      <c r="B85" s="50" t="s">
        <v>60</v>
      </c>
      <c r="C85" s="36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6"/>
    </row>
    <row r="86" spans="2:16" s="4" customFormat="1" ht="13.5" thickBot="1">
      <c r="B86" s="50" t="s">
        <v>32</v>
      </c>
      <c r="C86" s="146">
        <f>+SUM(C73:C85)</f>
        <v>0</v>
      </c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45"/>
    </row>
    <row r="87" spans="2:16" s="4" customFormat="1">
      <c r="B87" s="50" t="s">
        <v>33</v>
      </c>
      <c r="C87" s="73">
        <f>Savings!D63</f>
        <v>0</v>
      </c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45"/>
    </row>
    <row r="88" spans="2:16" s="4" customFormat="1" ht="13.5" thickBot="1">
      <c r="B88" s="50" t="s">
        <v>206</v>
      </c>
      <c r="C88" s="44">
        <f>P124</f>
        <v>0</v>
      </c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6"/>
    </row>
    <row r="89" spans="2:16" s="4" customFormat="1" ht="13.5" thickBot="1">
      <c r="B89" s="51" t="s">
        <v>204</v>
      </c>
      <c r="C89" s="146">
        <f>+C86+C87+C88</f>
        <v>0</v>
      </c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50">
        <f>MIN(MIN(MAX(C86+C87,0),150000)+MIN(MAX(C88,0),150000),200000)</f>
        <v>0</v>
      </c>
    </row>
    <row r="90" spans="2:16" s="4" customFormat="1" ht="13.5" thickBot="1">
      <c r="B90" s="148"/>
      <c r="C90" s="149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40"/>
    </row>
    <row r="91" spans="2:16" s="4" customFormat="1" ht="24.75">
      <c r="B91" s="63" t="s">
        <v>223</v>
      </c>
      <c r="C91" s="43">
        <f>+P130</f>
        <v>0</v>
      </c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50">
        <f>IF(C91&gt;0,MIN(25000,C91),0)</f>
        <v>0</v>
      </c>
    </row>
    <row r="92" spans="2:16" s="4" customFormat="1" ht="24.75">
      <c r="B92" s="71" t="s">
        <v>220</v>
      </c>
      <c r="C92" s="45">
        <v>0</v>
      </c>
      <c r="D92" s="98" t="s">
        <v>222</v>
      </c>
      <c r="E92" s="99"/>
      <c r="F92" s="99"/>
      <c r="G92" s="99"/>
      <c r="H92" s="135"/>
      <c r="I92" s="135"/>
      <c r="J92" s="135"/>
      <c r="K92" s="135"/>
      <c r="L92" s="135"/>
      <c r="M92" s="135"/>
      <c r="N92" s="135"/>
      <c r="O92" s="135"/>
      <c r="P92" s="125">
        <f>IF(C92&gt;0,IF(D92=H160, MIN(50000,C92), MIN(25000,C92)),0)</f>
        <v>0</v>
      </c>
    </row>
    <row r="93" spans="2:16" s="4" customFormat="1" ht="24.75">
      <c r="B93" s="71" t="s">
        <v>92</v>
      </c>
      <c r="C93" s="45">
        <v>0</v>
      </c>
      <c r="D93" s="98" t="s">
        <v>94</v>
      </c>
      <c r="E93" s="99"/>
      <c r="F93" s="99"/>
      <c r="G93" s="99"/>
      <c r="H93" s="135"/>
      <c r="I93" s="135"/>
      <c r="J93" s="135"/>
      <c r="K93" s="135"/>
      <c r="L93" s="135"/>
      <c r="M93" s="135"/>
      <c r="N93" s="135"/>
      <c r="O93" s="135"/>
      <c r="P93" s="125">
        <f>IF(C93&gt;0,IF(D93=G159, MIN(125000,C93), MIN(75000,C93)),0)</f>
        <v>0</v>
      </c>
    </row>
    <row r="94" spans="2:16" s="4" customFormat="1" ht="24.75">
      <c r="B94" s="71" t="s">
        <v>93</v>
      </c>
      <c r="C94" s="45">
        <v>0</v>
      </c>
      <c r="D94" s="98" t="s">
        <v>96</v>
      </c>
      <c r="E94" s="99"/>
      <c r="F94" s="99"/>
      <c r="G94" s="99"/>
      <c r="H94" s="135"/>
      <c r="I94" s="135"/>
      <c r="J94" s="135"/>
      <c r="K94" s="135"/>
      <c r="L94" s="135"/>
      <c r="M94" s="135"/>
      <c r="N94" s="135"/>
      <c r="O94" s="135"/>
      <c r="P94" s="125">
        <f>IF(C94&gt;0,IF(D94=L159, MIN(40000,C94), MIN(100000,C94)),0)</f>
        <v>0</v>
      </c>
    </row>
    <row r="95" spans="2:16" s="4" customFormat="1" ht="24.75">
      <c r="B95" s="71" t="s">
        <v>115</v>
      </c>
      <c r="C95" s="36">
        <v>0</v>
      </c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25">
        <f>MAX(0,C95)</f>
        <v>0</v>
      </c>
    </row>
    <row r="96" spans="2:16" s="4" customFormat="1" ht="24.75">
      <c r="B96" s="71" t="s">
        <v>116</v>
      </c>
      <c r="C96" s="36">
        <v>0</v>
      </c>
      <c r="D96" s="98" t="s">
        <v>94</v>
      </c>
      <c r="E96" s="99"/>
      <c r="F96" s="99"/>
      <c r="G96" s="99"/>
      <c r="H96" s="135"/>
      <c r="I96" s="135"/>
      <c r="J96" s="135"/>
      <c r="K96" s="135"/>
      <c r="L96" s="135"/>
      <c r="M96" s="135"/>
      <c r="N96" s="135"/>
      <c r="O96" s="135"/>
      <c r="P96" s="125">
        <f>IF(C96&gt;0,IF(D96=G159, MIN(125000,C96), MIN(75000,C96)),0)</f>
        <v>0</v>
      </c>
    </row>
    <row r="97" spans="2:18" s="4" customFormat="1">
      <c r="B97" s="52" t="s">
        <v>61</v>
      </c>
      <c r="C97" s="36">
        <v>0</v>
      </c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25">
        <f>MIN(MAX(C97,0),(P40-P34)*10%)</f>
        <v>0</v>
      </c>
    </row>
    <row r="98" spans="2:18" s="4" customFormat="1">
      <c r="B98" s="52" t="s">
        <v>62</v>
      </c>
      <c r="C98" s="36">
        <v>0</v>
      </c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25">
        <f>MIN(MAX(C98/2,0),((P40-P34)*10%)-P97)</f>
        <v>0</v>
      </c>
    </row>
    <row r="99" spans="2:18" s="4" customFormat="1">
      <c r="B99" s="78" t="s">
        <v>157</v>
      </c>
      <c r="C99" s="79">
        <v>0</v>
      </c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25">
        <f>IF(P65&gt;=1200000,0,IF(C99&gt;0,MIN(25000,C99/2),0))</f>
        <v>0</v>
      </c>
    </row>
    <row r="100" spans="2:18" s="4" customFormat="1" ht="13.5" hidden="1" thickBot="1">
      <c r="B100" s="53" t="s">
        <v>198</v>
      </c>
      <c r="C100" s="83">
        <f>IF(AND(D67=R159,G67=U159,C66&lt;=2500000,C66&gt;0,C67&gt;200000),MIN(C67-200000,MAX(100000-J67,0)),0)</f>
        <v>0</v>
      </c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25">
        <f>0</f>
        <v>0</v>
      </c>
    </row>
    <row r="101" spans="2:18" s="4" customFormat="1" ht="13.5" thickBot="1">
      <c r="B101" s="53" t="s">
        <v>199</v>
      </c>
      <c r="C101" s="83">
        <f>MAX(MIN((P11+P9)*10%,P132),0)</f>
        <v>0</v>
      </c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25">
        <f>C101</f>
        <v>0</v>
      </c>
    </row>
    <row r="102" spans="2:18" s="4" customFormat="1" ht="13.5" thickBot="1">
      <c r="B102" s="53" t="s">
        <v>225</v>
      </c>
      <c r="C102" s="83">
        <f>IF(C5&gt;=60, MAX(MIN(50000,P32+P33),0),MAX(MIN(10000,P32),0))</f>
        <v>0</v>
      </c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25">
        <f>C102</f>
        <v>0</v>
      </c>
    </row>
    <row r="103" spans="2:18" s="4" customFormat="1" ht="13.5" thickBot="1">
      <c r="B103" s="151" t="s">
        <v>26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40"/>
    </row>
    <row r="104" spans="2:18" s="4" customFormat="1" ht="13.5" thickBot="1">
      <c r="B104" s="65" t="s">
        <v>218</v>
      </c>
      <c r="C104" s="64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50">
        <f>MIN(40000,P70,SUM(P9+P13))</f>
        <v>0</v>
      </c>
    </row>
    <row r="105" spans="2:18" s="4" customFormat="1" ht="13.5" thickBot="1">
      <c r="B105" s="151" t="s">
        <v>26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40"/>
    </row>
    <row r="106" spans="2:18" s="4" customFormat="1" ht="13.5" thickBot="1">
      <c r="B106" s="65" t="s">
        <v>129</v>
      </c>
      <c r="C106" s="64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50">
        <f>MAX(MAX(P70-P34-SUM(P89:P102),0)+P34-P104,0)</f>
        <v>0</v>
      </c>
    </row>
    <row r="107" spans="2:18" s="4" customFormat="1" ht="13.5" thickBot="1">
      <c r="B107" s="151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52"/>
    </row>
    <row r="108" spans="2:18" s="4" customFormat="1" ht="13.5" thickBot="1">
      <c r="B108" s="65" t="s">
        <v>130</v>
      </c>
      <c r="C108" s="64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50">
        <f>+ROUND(P106,-1)</f>
        <v>0</v>
      </c>
    </row>
    <row r="109" spans="2:18" s="4" customFormat="1" ht="13.5" thickBot="1">
      <c r="B109" s="151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40"/>
      <c r="Q109" s="6"/>
      <c r="R109" s="7"/>
    </row>
    <row r="110" spans="2:18" s="4" customFormat="1" ht="13.5" thickBot="1">
      <c r="B110" s="65" t="s">
        <v>105</v>
      </c>
      <c r="C110" s="64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50">
        <f>C172</f>
        <v>0</v>
      </c>
      <c r="Q110" s="8"/>
      <c r="R110" s="8"/>
    </row>
    <row r="111" spans="2:18" s="4" customFormat="1" ht="13.5" thickBot="1">
      <c r="B111" s="65" t="s">
        <v>195</v>
      </c>
      <c r="C111" s="64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50">
        <f>IF(P106&gt;350000,0,MIN(C172,2500))</f>
        <v>0</v>
      </c>
      <c r="Q111" s="8"/>
      <c r="R111" s="8"/>
    </row>
    <row r="112" spans="2:18" s="4" customFormat="1" ht="13.5" thickBot="1">
      <c r="B112" s="65" t="s">
        <v>168</v>
      </c>
      <c r="C112" s="64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50">
        <f>P110-P111</f>
        <v>0</v>
      </c>
      <c r="Q112" s="8"/>
      <c r="R112" s="8"/>
    </row>
    <row r="113" spans="2:18" s="4" customFormat="1" ht="13.5" thickBot="1">
      <c r="B113" s="65" t="s">
        <v>141</v>
      </c>
      <c r="C113" s="64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53">
        <f xml:space="preserve"> IF(AND(E188=0,E187=0),G188,IF(AND(E188&gt;0,E187=0),E188,E188))</f>
        <v>0</v>
      </c>
      <c r="Q113" s="8"/>
      <c r="R113" s="8"/>
    </row>
    <row r="114" spans="2:18" s="4" customFormat="1" ht="13.5" thickBot="1">
      <c r="B114" s="65" t="s">
        <v>142</v>
      </c>
      <c r="C114" s="64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53">
        <f>P112+P113</f>
        <v>0</v>
      </c>
      <c r="Q114" s="8"/>
      <c r="R114" s="8"/>
    </row>
    <row r="115" spans="2:18" s="4" customFormat="1" ht="13.5" thickBot="1">
      <c r="B115" s="65" t="s">
        <v>219</v>
      </c>
      <c r="C115" s="64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25">
        <f>+ROUND(P114*4%,0)</f>
        <v>0</v>
      </c>
    </row>
    <row r="116" spans="2:18" s="4" customFormat="1" ht="13.5" thickBot="1">
      <c r="B116" s="65" t="s">
        <v>106</v>
      </c>
      <c r="C116" s="64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25">
        <f>+P115+P114</f>
        <v>0</v>
      </c>
    </row>
    <row r="117" spans="2:18" s="4" customFormat="1" ht="13.5" thickBot="1">
      <c r="B117" s="65" t="s">
        <v>107</v>
      </c>
      <c r="C117" s="64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25">
        <f>+P121</f>
        <v>0</v>
      </c>
    </row>
    <row r="118" spans="2:18" s="4" customFormat="1" ht="13.5" thickBot="1">
      <c r="B118" s="53" t="s">
        <v>108</v>
      </c>
      <c r="C118" s="6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25">
        <f>+P116-P117</f>
        <v>0</v>
      </c>
    </row>
    <row r="119" spans="2:18" s="4" customFormat="1" ht="13.5" thickBot="1">
      <c r="B119" s="158"/>
      <c r="C119" s="155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7"/>
    </row>
    <row r="120" spans="2:18" s="4" customFormat="1" ht="13.5" thickBot="1">
      <c r="B120" s="67" t="s">
        <v>29</v>
      </c>
      <c r="C120" s="66"/>
      <c r="D120" s="138" t="s">
        <v>2</v>
      </c>
      <c r="E120" s="138" t="s">
        <v>3</v>
      </c>
      <c r="F120" s="138" t="s">
        <v>4</v>
      </c>
      <c r="G120" s="138" t="s">
        <v>5</v>
      </c>
      <c r="H120" s="138" t="s">
        <v>6</v>
      </c>
      <c r="I120" s="138" t="s">
        <v>7</v>
      </c>
      <c r="J120" s="138" t="s">
        <v>8</v>
      </c>
      <c r="K120" s="138" t="s">
        <v>9</v>
      </c>
      <c r="L120" s="138" t="s">
        <v>10</v>
      </c>
      <c r="M120" s="138" t="s">
        <v>11</v>
      </c>
      <c r="N120" s="138" t="s">
        <v>12</v>
      </c>
      <c r="O120" s="138" t="s">
        <v>13</v>
      </c>
      <c r="P120" s="142"/>
    </row>
    <row r="121" spans="2:18" s="4" customFormat="1">
      <c r="B121" s="61" t="s">
        <v>107</v>
      </c>
      <c r="C121" s="59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150">
        <f t="shared" ref="P121:P133" si="14">SUM(D121:O121)</f>
        <v>0</v>
      </c>
    </row>
    <row r="122" spans="2:18" s="4" customFormat="1">
      <c r="B122" s="61" t="s">
        <v>22</v>
      </c>
      <c r="C122" s="59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159">
        <f t="shared" si="14"/>
        <v>0</v>
      </c>
    </row>
    <row r="123" spans="2:18" s="4" customFormat="1">
      <c r="B123" s="61" t="s">
        <v>31</v>
      </c>
      <c r="C123" s="59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159">
        <f t="shared" si="14"/>
        <v>0</v>
      </c>
    </row>
    <row r="124" spans="2:18" s="4" customFormat="1">
      <c r="B124" s="61" t="s">
        <v>207</v>
      </c>
      <c r="C124" s="59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159">
        <f>SUM(D124:O124)</f>
        <v>0</v>
      </c>
    </row>
    <row r="125" spans="2:18" s="4" customFormat="1">
      <c r="B125" s="61" t="s">
        <v>124</v>
      </c>
      <c r="C125" s="59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159">
        <f>SUM(D125:O125)</f>
        <v>0</v>
      </c>
    </row>
    <row r="126" spans="2:18" s="4" customFormat="1">
      <c r="B126" s="61" t="s">
        <v>64</v>
      </c>
      <c r="C126" s="59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159">
        <f t="shared" si="14"/>
        <v>0</v>
      </c>
    </row>
    <row r="127" spans="2:18" s="4" customFormat="1">
      <c r="B127" s="61" t="s">
        <v>66</v>
      </c>
      <c r="C127" s="59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159">
        <f t="shared" si="14"/>
        <v>0</v>
      </c>
    </row>
    <row r="128" spans="2:18" s="4" customFormat="1">
      <c r="B128" s="61" t="s">
        <v>67</v>
      </c>
      <c r="C128" s="59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159">
        <f t="shared" si="14"/>
        <v>0</v>
      </c>
    </row>
    <row r="129" spans="2:16" s="4" customFormat="1">
      <c r="B129" s="61" t="s">
        <v>109</v>
      </c>
      <c r="C129" s="59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159">
        <f>SUM(D129:O129)</f>
        <v>0</v>
      </c>
    </row>
    <row r="130" spans="2:16" s="4" customFormat="1">
      <c r="B130" s="61" t="s">
        <v>65</v>
      </c>
      <c r="C130" s="59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159">
        <f t="shared" si="14"/>
        <v>0</v>
      </c>
    </row>
    <row r="131" spans="2:16" s="4" customFormat="1">
      <c r="B131" s="61" t="s">
        <v>117</v>
      </c>
      <c r="C131" s="59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159">
        <f>SUM(D131:O131)</f>
        <v>0</v>
      </c>
    </row>
    <row r="132" spans="2:16" s="4" customFormat="1">
      <c r="B132" s="61" t="s">
        <v>126</v>
      </c>
      <c r="C132" s="59"/>
      <c r="D132" s="36">
        <f>D124</f>
        <v>0</v>
      </c>
      <c r="E132" s="36">
        <f t="shared" ref="E132:O132" si="15">E124</f>
        <v>0</v>
      </c>
      <c r="F132" s="36">
        <f t="shared" si="15"/>
        <v>0</v>
      </c>
      <c r="G132" s="36">
        <f t="shared" si="15"/>
        <v>0</v>
      </c>
      <c r="H132" s="36">
        <f t="shared" si="15"/>
        <v>0</v>
      </c>
      <c r="I132" s="36">
        <f t="shared" si="15"/>
        <v>0</v>
      </c>
      <c r="J132" s="36">
        <f t="shared" si="15"/>
        <v>0</v>
      </c>
      <c r="K132" s="36">
        <f t="shared" si="15"/>
        <v>0</v>
      </c>
      <c r="L132" s="36">
        <f t="shared" si="15"/>
        <v>0</v>
      </c>
      <c r="M132" s="36">
        <f t="shared" si="15"/>
        <v>0</v>
      </c>
      <c r="N132" s="36">
        <f t="shared" si="15"/>
        <v>0</v>
      </c>
      <c r="O132" s="36">
        <f t="shared" si="15"/>
        <v>0</v>
      </c>
      <c r="P132" s="159">
        <f>SUM(D132:O132)</f>
        <v>0</v>
      </c>
    </row>
    <row r="133" spans="2:16" s="4" customFormat="1" ht="13.5" thickBot="1">
      <c r="B133" s="68" t="s">
        <v>37</v>
      </c>
      <c r="C133" s="69"/>
      <c r="D133" s="37">
        <f>D123</f>
        <v>0</v>
      </c>
      <c r="E133" s="37">
        <f t="shared" ref="E133:O133" si="16">E123</f>
        <v>0</v>
      </c>
      <c r="F133" s="37">
        <f t="shared" si="16"/>
        <v>0</v>
      </c>
      <c r="G133" s="37">
        <f t="shared" si="16"/>
        <v>0</v>
      </c>
      <c r="H133" s="37">
        <f t="shared" si="16"/>
        <v>0</v>
      </c>
      <c r="I133" s="37">
        <f t="shared" si="16"/>
        <v>0</v>
      </c>
      <c r="J133" s="37">
        <f t="shared" si="16"/>
        <v>0</v>
      </c>
      <c r="K133" s="37">
        <f t="shared" si="16"/>
        <v>0</v>
      </c>
      <c r="L133" s="37">
        <f t="shared" si="16"/>
        <v>0</v>
      </c>
      <c r="M133" s="37">
        <f t="shared" si="16"/>
        <v>0</v>
      </c>
      <c r="N133" s="37">
        <f t="shared" si="16"/>
        <v>0</v>
      </c>
      <c r="O133" s="37">
        <f t="shared" si="16"/>
        <v>0</v>
      </c>
      <c r="P133" s="147">
        <f t="shared" si="14"/>
        <v>0</v>
      </c>
    </row>
    <row r="134" spans="2:16" s="4" customFormat="1" ht="13.5" thickBot="1">
      <c r="B134" s="162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1"/>
    </row>
    <row r="135" spans="2:16" s="4" customFormat="1" ht="13.5" thickBot="1">
      <c r="B135" s="60" t="s">
        <v>110</v>
      </c>
      <c r="C135" s="70"/>
      <c r="D135" s="150">
        <f t="shared" ref="D135:O135" si="17">D40-SUM(D121:D132)</f>
        <v>0</v>
      </c>
      <c r="E135" s="150">
        <f t="shared" si="17"/>
        <v>0</v>
      </c>
      <c r="F135" s="150">
        <f t="shared" si="17"/>
        <v>0</v>
      </c>
      <c r="G135" s="150">
        <f t="shared" si="17"/>
        <v>0</v>
      </c>
      <c r="H135" s="150">
        <f t="shared" si="17"/>
        <v>0</v>
      </c>
      <c r="I135" s="150">
        <f t="shared" si="17"/>
        <v>0</v>
      </c>
      <c r="J135" s="150">
        <f t="shared" si="17"/>
        <v>0</v>
      </c>
      <c r="K135" s="150">
        <f t="shared" si="17"/>
        <v>0</v>
      </c>
      <c r="L135" s="150">
        <f t="shared" si="17"/>
        <v>0</v>
      </c>
      <c r="M135" s="150">
        <f t="shared" si="17"/>
        <v>0</v>
      </c>
      <c r="N135" s="150">
        <f t="shared" si="17"/>
        <v>0</v>
      </c>
      <c r="O135" s="150">
        <f t="shared" si="17"/>
        <v>0</v>
      </c>
      <c r="P135" s="163"/>
    </row>
    <row r="136" spans="2:16" s="4" customFormat="1" ht="13.5" thickBot="1">
      <c r="B136" s="68" t="s">
        <v>111</v>
      </c>
      <c r="C136" s="69"/>
      <c r="D136" s="137">
        <f t="shared" ref="D136:O136" si="18">D135-SUM(D17,D20:D27)</f>
        <v>0</v>
      </c>
      <c r="E136" s="137">
        <f t="shared" si="18"/>
        <v>0</v>
      </c>
      <c r="F136" s="137">
        <f t="shared" si="18"/>
        <v>0</v>
      </c>
      <c r="G136" s="137">
        <f t="shared" si="18"/>
        <v>0</v>
      </c>
      <c r="H136" s="137">
        <f t="shared" si="18"/>
        <v>0</v>
      </c>
      <c r="I136" s="137">
        <f t="shared" si="18"/>
        <v>0</v>
      </c>
      <c r="J136" s="137">
        <f t="shared" si="18"/>
        <v>0</v>
      </c>
      <c r="K136" s="137">
        <f t="shared" si="18"/>
        <v>0</v>
      </c>
      <c r="L136" s="137">
        <f t="shared" si="18"/>
        <v>0</v>
      </c>
      <c r="M136" s="137">
        <f t="shared" si="18"/>
        <v>0</v>
      </c>
      <c r="N136" s="137">
        <f t="shared" si="18"/>
        <v>0</v>
      </c>
      <c r="O136" s="137">
        <f t="shared" si="18"/>
        <v>0</v>
      </c>
      <c r="P136" s="163"/>
    </row>
    <row r="137" spans="2:16" s="4" customFormat="1" ht="13.5" thickBot="1">
      <c r="B137" s="158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63"/>
    </row>
    <row r="138" spans="2:16" s="4" customFormat="1" ht="13.5" thickBot="1">
      <c r="B138" s="158"/>
      <c r="C138" s="134"/>
      <c r="D138" s="134"/>
      <c r="E138" s="134"/>
      <c r="F138" s="134"/>
      <c r="G138" s="134"/>
      <c r="H138" s="134"/>
      <c r="I138" s="134"/>
      <c r="J138" s="134"/>
      <c r="K138" s="102" t="s">
        <v>112</v>
      </c>
      <c r="L138" s="103"/>
      <c r="M138" s="103"/>
      <c r="N138" s="103"/>
      <c r="O138" s="104"/>
      <c r="P138" s="137">
        <f>P40+P133</f>
        <v>0</v>
      </c>
    </row>
    <row r="139" spans="2:16" s="4" customFormat="1" ht="13.5" thickBot="1">
      <c r="B139" s="164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6"/>
    </row>
    <row r="140" spans="2:16" s="4" customFormat="1"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2:16" s="4" customFormat="1" ht="14.25" customHeight="1">
      <c r="B141" s="167" t="s">
        <v>131</v>
      </c>
      <c r="C141" s="168"/>
      <c r="D141" s="168"/>
      <c r="E141" s="168"/>
      <c r="F141" s="41"/>
      <c r="G141" s="39"/>
      <c r="H141" s="39"/>
      <c r="I141" s="39"/>
      <c r="J141" s="39"/>
      <c r="K141" s="39"/>
      <c r="L141" s="39"/>
      <c r="M141" s="39"/>
      <c r="N141" s="39"/>
      <c r="O141" s="39"/>
      <c r="P141" s="39"/>
    </row>
    <row r="142" spans="2:16" s="4" customFormat="1" ht="13.5" thickBot="1">
      <c r="B142" s="40"/>
      <c r="C142" s="41"/>
      <c r="D142" s="42"/>
      <c r="E142" s="41"/>
      <c r="F142" s="41"/>
      <c r="G142" s="39"/>
      <c r="H142" s="39"/>
      <c r="I142" s="39"/>
      <c r="J142" s="39"/>
      <c r="K142" s="39"/>
      <c r="L142" s="39"/>
      <c r="M142" s="39"/>
      <c r="N142" s="39"/>
      <c r="O142" s="39"/>
      <c r="P142" s="39"/>
    </row>
    <row r="143" spans="2:16" s="4" customFormat="1" ht="13.5" thickBot="1">
      <c r="B143" s="56" t="s">
        <v>38</v>
      </c>
      <c r="C143" s="137">
        <f>P116</f>
        <v>0</v>
      </c>
      <c r="D143" s="42"/>
      <c r="E143" s="41"/>
      <c r="F143" s="41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2:16" s="4" customFormat="1" ht="13.5" thickBot="1">
      <c r="B144" s="40"/>
      <c r="C144" s="41"/>
      <c r="D144" s="42"/>
      <c r="E144" s="41"/>
      <c r="F144" s="41"/>
      <c r="G144" s="39"/>
      <c r="H144" s="39"/>
      <c r="I144" s="39"/>
      <c r="J144" s="39"/>
      <c r="K144" s="39"/>
      <c r="L144" s="39"/>
      <c r="M144" s="39"/>
      <c r="N144" s="39"/>
      <c r="O144" s="39"/>
      <c r="P144" s="39"/>
    </row>
    <row r="145" spans="2:21" s="4" customFormat="1" ht="13.5" thickBot="1">
      <c r="B145" s="169" t="s">
        <v>39</v>
      </c>
      <c r="C145" s="169" t="s">
        <v>40</v>
      </c>
      <c r="D145" s="170" t="s">
        <v>102</v>
      </c>
      <c r="E145" s="169" t="s">
        <v>103</v>
      </c>
      <c r="F145" s="169" t="s">
        <v>104</v>
      </c>
      <c r="G145" s="39"/>
      <c r="H145" s="39"/>
      <c r="I145" s="39"/>
      <c r="J145" s="39"/>
      <c r="K145" s="39"/>
      <c r="L145" s="39"/>
      <c r="M145" s="39"/>
      <c r="N145" s="39"/>
      <c r="O145" s="39"/>
      <c r="P145" s="39"/>
    </row>
    <row r="146" spans="2:21" s="4" customFormat="1" ht="13.5" thickBot="1">
      <c r="B146" s="46" t="s">
        <v>226</v>
      </c>
      <c r="C146" s="57">
        <f>15%</f>
        <v>0.15</v>
      </c>
      <c r="D146" s="137">
        <f>$C$143*C146</f>
        <v>0</v>
      </c>
      <c r="E146" s="137">
        <f>SUM(D121:E121)</f>
        <v>0</v>
      </c>
      <c r="F146" s="137">
        <f>+D146-E146</f>
        <v>0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</row>
    <row r="147" spans="2:21" s="4" customFormat="1" ht="13.5" thickBot="1">
      <c r="B147" s="46" t="s">
        <v>201</v>
      </c>
      <c r="C147" s="57">
        <v>0.45</v>
      </c>
      <c r="D147" s="137">
        <f>$C$143*C147</f>
        <v>0</v>
      </c>
      <c r="E147" s="137">
        <f>SUM(D121:H121)</f>
        <v>0</v>
      </c>
      <c r="F147" s="137">
        <f>+D147-E147</f>
        <v>0</v>
      </c>
      <c r="G147" s="39"/>
      <c r="H147" s="39"/>
      <c r="I147" s="39"/>
      <c r="J147" s="39"/>
      <c r="K147" s="39"/>
      <c r="L147" s="39"/>
      <c r="M147" s="39"/>
      <c r="N147" s="39"/>
      <c r="O147" s="39"/>
      <c r="P147" s="39"/>
    </row>
    <row r="148" spans="2:21" s="4" customFormat="1" ht="13.5" thickBot="1">
      <c r="B148" s="46" t="s">
        <v>202</v>
      </c>
      <c r="C148" s="57">
        <v>0.75</v>
      </c>
      <c r="D148" s="137">
        <f>$C$143*C148</f>
        <v>0</v>
      </c>
      <c r="E148" s="137">
        <f>SUM(D121:K121)</f>
        <v>0</v>
      </c>
      <c r="F148" s="137">
        <f>+D148-E148</f>
        <v>0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</row>
    <row r="149" spans="2:21" s="4" customFormat="1" ht="13.5" thickBot="1">
      <c r="B149" s="54" t="s">
        <v>203</v>
      </c>
      <c r="C149" s="58">
        <v>1</v>
      </c>
      <c r="D149" s="137">
        <f>$C$143*C149</f>
        <v>0</v>
      </c>
      <c r="E149" s="137">
        <f>SUM(D121:O121)</f>
        <v>0</v>
      </c>
      <c r="F149" s="137">
        <f>+D149-E149</f>
        <v>0</v>
      </c>
      <c r="G149" s="39"/>
      <c r="H149" s="39"/>
      <c r="I149" s="39"/>
      <c r="J149" s="39"/>
      <c r="K149" s="39"/>
      <c r="L149" s="39"/>
      <c r="M149" s="39"/>
      <c r="N149" s="39"/>
      <c r="O149" s="39"/>
      <c r="P149" s="39"/>
    </row>
    <row r="150" spans="2:21" s="12" customFormat="1" ht="13.5">
      <c r="B150" s="9"/>
      <c r="C150" s="9"/>
      <c r="D150" s="10"/>
      <c r="E150" s="9"/>
      <c r="F150" s="9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2:21" s="12" customFormat="1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2:21" s="12" customFormat="1" hidden="1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2:21" s="12" customFormat="1" hidden="1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2:21" s="12" customFormat="1" hidden="1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2:21" s="12" customFormat="1" hidden="1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2:21" s="12" customFormat="1" hidden="1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2:21" s="12" customFormat="1" hidden="1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2:21" s="12" customFormat="1" hidden="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2:21" s="12" customFormat="1" hidden="1">
      <c r="B159" s="12" t="s">
        <v>48</v>
      </c>
      <c r="C159" s="11" t="s">
        <v>51</v>
      </c>
      <c r="D159" s="11" t="s">
        <v>52</v>
      </c>
      <c r="E159" s="11"/>
      <c r="F159" s="11"/>
      <c r="G159" s="11" t="s">
        <v>94</v>
      </c>
      <c r="H159" s="11" t="s">
        <v>221</v>
      </c>
      <c r="I159" s="11"/>
      <c r="J159" s="11" t="s">
        <v>196</v>
      </c>
      <c r="K159" s="11"/>
      <c r="L159" s="11" t="s">
        <v>96</v>
      </c>
      <c r="M159" s="11"/>
      <c r="N159" s="11"/>
      <c r="O159" s="11" t="s">
        <v>98</v>
      </c>
      <c r="P159" s="11"/>
      <c r="R159" s="12" t="s">
        <v>144</v>
      </c>
      <c r="U159" s="12" t="s">
        <v>146</v>
      </c>
    </row>
    <row r="160" spans="2:21" s="12" customFormat="1" hidden="1">
      <c r="B160" s="12" t="s">
        <v>47</v>
      </c>
      <c r="C160" s="11" t="s">
        <v>50</v>
      </c>
      <c r="D160" s="11" t="s">
        <v>53</v>
      </c>
      <c r="E160" s="11"/>
      <c r="F160" s="11"/>
      <c r="G160" s="11" t="s">
        <v>95</v>
      </c>
      <c r="H160" s="11" t="s">
        <v>222</v>
      </c>
      <c r="I160" s="11"/>
      <c r="J160" s="11" t="s">
        <v>197</v>
      </c>
      <c r="K160" s="11"/>
      <c r="L160" s="11" t="s">
        <v>97</v>
      </c>
      <c r="M160" s="11"/>
      <c r="N160" s="11"/>
      <c r="O160" s="11" t="s">
        <v>100</v>
      </c>
      <c r="P160" s="11"/>
      <c r="R160" s="12" t="s">
        <v>145</v>
      </c>
      <c r="U160" s="12" t="s">
        <v>147</v>
      </c>
    </row>
    <row r="161" spans="2:16" hidden="1">
      <c r="D161" s="3"/>
      <c r="O161" s="11" t="s">
        <v>99</v>
      </c>
    </row>
    <row r="162" spans="2:16" hidden="1">
      <c r="D162" s="3"/>
    </row>
    <row r="163" spans="2:16" hidden="1"/>
    <row r="164" spans="2:16" hidden="1"/>
    <row r="165" spans="2:16" hidden="1">
      <c r="C165" s="1" t="s">
        <v>120</v>
      </c>
      <c r="D165" s="1" t="s">
        <v>121</v>
      </c>
      <c r="E165" s="1" t="s">
        <v>122</v>
      </c>
      <c r="F165" s="1">
        <f>+IF(C5&gt;=80,IF(P108&gt;800000,60000+0.3*(P108-800000),IF(P108&gt;500000,0.2*(P108-500000),0)),
IF(C5&gt;=60,IF(P108&gt;800000,85000+0.3*(P108-800000),IF(P108&gt;500000,25000+0.2*(P108-500000),IF(P108&gt;250000,0.1*(P108-250000),0))),
IF(C3=B159,IF(P108&gt;800000,92000+0.3*(P108-800000),IF(P108&gt;500000,32000+0.2*(P108-500000),IF(P108&gt;180000,0.1*(P108-180000),0))),
IF(C3=B160,IF(P108&gt;800000,91000+0.3*(P108-800000),IF(P108&gt;500000,31000+0.2*(P108-500000),IF(P108&gt;190000,0.1*(P108-190000),0)))))))</f>
        <v>0</v>
      </c>
    </row>
    <row r="166" spans="2:16" hidden="1">
      <c r="B166" s="2" t="s">
        <v>118</v>
      </c>
      <c r="C166" s="1">
        <f>IF((P108-P35)&gt;800000,60000+0.3*(P108-P35-800000)+P35*15%,IF((P108-P35)&gt;500000,0.2*(P108-P35-500000)+P35*15%,IF((P108)&gt;500000,0.15*(P108-500000),0)))</f>
        <v>0</v>
      </c>
      <c r="D166" s="1">
        <f>IF(P108&gt;800000,60000+0.3*(P108-800000),IF(P108&gt;500000,0.2*(P108-500000),0))</f>
        <v>0</v>
      </c>
      <c r="E166" s="1">
        <f>IF((P108-P35)&gt;800000,60000+0.3*((P108-P35)-800000),IF((P108-P35)&gt;500000,0.2*((P108-P35)-500000),0))</f>
        <v>0</v>
      </c>
    </row>
    <row r="167" spans="2:16" hidden="1">
      <c r="B167" s="2" t="s">
        <v>119</v>
      </c>
      <c r="C167" s="1">
        <f>IF((P108-P35)&gt;800000,85000+0.3*(P108-P35-800000)+P35*15%,IF((P108-P35)&gt;500000,25000+0.2*(P108-P35-500000)+P35*15%,IF((P108-P35)&gt;250000,0.1*(P108-P35-250000)+P35*15%,IF(P108&gt;250000,0.15*(P108-250000),0))))</f>
        <v>0</v>
      </c>
      <c r="D167" s="1">
        <f>IF(P108&gt;800000,85000+0.3*(P108-800000),IF(P108&gt;500000,25000+0.2*(P108-500000),IF(P108&gt;250000,0.1*(P108-250000),0)))</f>
        <v>0</v>
      </c>
      <c r="E167" s="1">
        <f>IF((P108-P35)&gt;800000,85000+0.3*((P108-P35)-800000),IF((P108-P35)&gt;500000,25000+0.2*((P108-P35)-500000),IF((P108-P35)&gt;250000,0.1*((P108-P35)-250000),0)))</f>
        <v>0</v>
      </c>
    </row>
    <row r="168" spans="2:16" hidden="1">
      <c r="B168" s="2" t="s">
        <v>48</v>
      </c>
      <c r="C168" s="1">
        <f>IF((P108-P35)&gt;800000,92000+0.3*(P108-P35-800000)+P35*15%,IF((P108-P35)&gt;500000,32000+0.2*(P108-P35-500000)+P35*15%,IF((P108-P35)&gt;180000,0.1*(P108-P35-180000)+P35*15%,IF(P108&gt;180000,0.15*(P108-180000),0))))</f>
        <v>0</v>
      </c>
      <c r="D168" s="1">
        <f>IF(P108&gt;800000,92000+0.3*(P108-800000),IF(P108&gt;500000,32000+0.2*(P108-500000),IF(P108&gt;180000,0.1*(P108-180000),0)))</f>
        <v>0</v>
      </c>
      <c r="E168" s="1">
        <f>IF((P108-P35)&gt;800000,92000+0.3*((P108-P35)-800000),IF((P108-P35)&gt;500000,32000+0.2*((P108-P35)-500000),IF((P108-P35)&gt;180000,0.1*((P108-P35)-180000),0)))</f>
        <v>0</v>
      </c>
    </row>
    <row r="169" spans="2:16" hidden="1">
      <c r="B169" s="2" t="s">
        <v>47</v>
      </c>
      <c r="C169" s="1">
        <f>IF((P108-P35)&gt;800000,91000+0.3*(P108-P35-800000)+P35*15%,IF((P108-P35)&gt;500000,31000+0.2*(P108-P35-500000)+P35*15%,IF((P108-P35)&gt;190000,0.1*(P108-P35-190000)+P35*15%,IF(P108&gt;190000,0.15*(P108-190000),0))))</f>
        <v>0</v>
      </c>
      <c r="D169" s="1">
        <f>IF(P108&gt;800000,91000+0.3*(P108-800000),IF(P108&gt;500000,31000+0.2*(P108-500000),IF(P108&gt;190000,0.1*(P108-190000),0)))</f>
        <v>0</v>
      </c>
      <c r="E169" s="1">
        <f>IF((P108-P35)&gt;800000,91000+0.3*((P108-P35)-800000),IF((P108-P35)&gt;500000,31000+0.2*((P108-P35)-500000),IF((P108-P35)&gt;190000,0.1*((P108-P35)-190000),0)))</f>
        <v>0</v>
      </c>
    </row>
    <row r="170" spans="2:16" hidden="1"/>
    <row r="171" spans="2:16" hidden="1"/>
    <row r="172" spans="2:16" hidden="1">
      <c r="B172" s="77" t="s">
        <v>148</v>
      </c>
      <c r="C172" s="1">
        <f>IF(C5&gt;=80, D173, IF(C5&gt;=60,D174, IF(C3=B160, D175, D176)))</f>
        <v>0</v>
      </c>
      <c r="E172" s="3" t="s">
        <v>160</v>
      </c>
      <c r="F172" s="3" t="s">
        <v>161</v>
      </c>
      <c r="G172" s="3" t="s">
        <v>208</v>
      </c>
      <c r="H172" s="3" t="s">
        <v>162</v>
      </c>
      <c r="I172" s="3" t="s">
        <v>163</v>
      </c>
      <c r="J172" s="3" t="s">
        <v>209</v>
      </c>
      <c r="K172" s="3" t="s">
        <v>120</v>
      </c>
      <c r="L172" s="3" t="s">
        <v>158</v>
      </c>
      <c r="M172" t="s">
        <v>159</v>
      </c>
      <c r="N172" t="s">
        <v>169</v>
      </c>
      <c r="O172" s="3"/>
      <c r="P172" s="3"/>
    </row>
    <row r="173" spans="2:16" hidden="1">
      <c r="B173" s="75" t="s">
        <v>118</v>
      </c>
      <c r="C173" s="1">
        <v>500000</v>
      </c>
      <c r="D173" s="76">
        <f>SUM(H173:N173)</f>
        <v>0</v>
      </c>
      <c r="E173" s="1">
        <f>IF(($P$108-$D$180-SUM($P$34,$P$35,$P$38,$P$39,MAX($P$37-$P$64,0)))&gt;0,($P$108-$D$180-SUM($P$34,$P$35,$P$38,$P$39,MAX($P$37-$P$64,0))),0)</f>
        <v>0</v>
      </c>
      <c r="F173" s="1">
        <f>IF(($P$108-$D$179-E173-SUM($P$34,$P$35,$P$38,$P$39,MAX($P$37-$P$64,0)))&gt;0,($P$108-$D$179-E173-SUM($P$34,$P$35,$P$38,$P$39,MAX($P$37-$P$64,0))),0)</f>
        <v>0</v>
      </c>
      <c r="G173" s="1">
        <f>IF(($P$108-C173-E173-F173-SUM($P$34,$P$35,$P$38,$P$39,MAX($P$37-$P$64,0)))&gt;0,($P$108-C173-E173-F173-SUM($P$34,$P$35,$P$38,$P$39,MAX($P$37-$P$64,0))),0)</f>
        <v>0</v>
      </c>
      <c r="H173" s="1">
        <f>E173*$E$180%</f>
        <v>0</v>
      </c>
      <c r="I173" s="1">
        <f>F173*$E$179%</f>
        <v>0</v>
      </c>
      <c r="J173" s="1">
        <f>G173*$E$178%</f>
        <v>0</v>
      </c>
      <c r="K173" s="1">
        <f>IF(($P$108-C173)&gt;0,IF($P$35&lt;($P$108-C173-$P$38),$P$35*$E$181%,MAX(($P$108-C173-$P$38),0)*$E$181%),0)</f>
        <v>0</v>
      </c>
      <c r="L173" s="1">
        <f>IF(($P$108-C173)&gt;0,IF($P$39&lt;($P$108-C173-$P$35-$P$38),$P$39*$E$182%,MAX(($P$108-C173-$P$35-$P$38),0)*$E$182%),0)</f>
        <v>0</v>
      </c>
      <c r="M173" s="1">
        <f>IF(($P$108-C173)&gt;0,IF(($P$38+MAX($P$37-$P$64,0))&lt;($P$108-C173),($P$38+MAX($P$37-$P$64,0))*$E$183%,($P$108-C173)*$E$183%),0)</f>
        <v>0</v>
      </c>
      <c r="N173" s="1">
        <f>$P$34*30%</f>
        <v>0</v>
      </c>
    </row>
    <row r="174" spans="2:16" hidden="1">
      <c r="B174" s="2" t="s">
        <v>119</v>
      </c>
      <c r="C174" s="1">
        <v>300000</v>
      </c>
      <c r="D174" s="76">
        <f>SUM(H174:N174)</f>
        <v>0</v>
      </c>
      <c r="E174" s="1">
        <f>IF(($P$108-$D$180-SUM($P$34,$P$35,$P$38,$P$39,MAX($P$37-$P$64,0)))&gt;0,($P$108-$D$180-SUM($P$34,$P$35,$P$38,$P$39,MAX($P$37-$P$64,0))),0)</f>
        <v>0</v>
      </c>
      <c r="F174" s="1">
        <f>IF(($P$108-$D$179-E174-SUM($P$34,$P$35,$P$38,$P$39,MAX($P$37-$P$64,0)))&gt;0,($P$108-$D$179-E174-SUM($P$34,$P$35,$P$38,$P$39,MAX($P$37-$P$64,0))),0)</f>
        <v>0</v>
      </c>
      <c r="G174" s="1">
        <f>IF(($P$108-C174-E174-F174-SUM($P$34,$P$35,$P$38,$P$39,MAX($P$37-$P$64,0)))&gt;0,($P$108-C174-E174-F174-SUM($P$34,$P$35,$P$38,$P$39,MAX($P$37-$P$64,0))),0)</f>
        <v>0</v>
      </c>
      <c r="H174" s="1">
        <f>E174*$E$180%</f>
        <v>0</v>
      </c>
      <c r="I174" s="1">
        <f>F174*$E$179%</f>
        <v>0</v>
      </c>
      <c r="J174" s="1">
        <f>G174*$E$178%</f>
        <v>0</v>
      </c>
      <c r="K174" s="1">
        <f>IF(($P$108-C174)&gt;0,IF($P$35&lt;($P$108-C174-$P$38),$P$35*$E$181%,MAX(($P$108-C174-$P$38),0)*$E$181%),0)</f>
        <v>0</v>
      </c>
      <c r="L174" s="1">
        <f>IF(($P$108-C174)&gt;0,IF($P$39&lt;($P$108-C174-$P$35-$P$38),$P$39*$E$182%,MAX(($P$108-C174-$P$35-$P$38),0)*$E$182%),0)</f>
        <v>0</v>
      </c>
      <c r="M174" s="1">
        <f>IF(($P$108-C174)&gt;0,IF(($P$38+MAX($P$37-$P$64,0))&lt;($P$108-C174),($P$38+MAX($P$37-$P$64,0))*$E$183%,($P$108-C174)*$E$183%),0)</f>
        <v>0</v>
      </c>
      <c r="N174" s="1">
        <f>$P$34*30%</f>
        <v>0</v>
      </c>
    </row>
    <row r="175" spans="2:16" hidden="1">
      <c r="B175" s="77" t="s">
        <v>47</v>
      </c>
      <c r="C175" s="1">
        <v>250000</v>
      </c>
      <c r="D175" s="76">
        <f>SUM(H175:N175)</f>
        <v>0</v>
      </c>
      <c r="E175" s="1">
        <f>IF(($P$108-$D$180-SUM($P$34,$P$35,$P$38,$P$39,MAX($P$37-$P$64,0)))&gt;0,($P$108-$D$180-SUM($P$34,$P$35,$P$38,$P$39,MAX($P$37-$P$64,0))),0)</f>
        <v>0</v>
      </c>
      <c r="F175" s="1">
        <f>IF(($P$108-$D$179-E175-SUM($P$34,$P$35,$P$38,$P$39,MAX($P$37-$P$64,0)))&gt;0,($P$108-$D$179-E175-SUM($P$34,$P$35,$P$38,$P$39,MAX($P$37-$P$64,0))),0)</f>
        <v>0</v>
      </c>
      <c r="G175" s="1">
        <f>IF(($P$108-C175-E175-F175-SUM($P$34,$P$35,$P$38,$P$39,MAX($P$37-$P$64,0)))&gt;0,($P$108-C175-E175-F175-SUM($P$34,$P$35,$P$38,$P$39,MAX($P$37-$P$64,0))),0)</f>
        <v>0</v>
      </c>
      <c r="H175" s="1">
        <f>E175*$E$180%</f>
        <v>0</v>
      </c>
      <c r="I175" s="1">
        <f>F175*$E$179%</f>
        <v>0</v>
      </c>
      <c r="J175" s="1">
        <f>G175*$E$178%</f>
        <v>0</v>
      </c>
      <c r="K175" s="1">
        <f>IF(($P$108-C175)&gt;0,IF($P$35&lt;($P$108-C175-$P$38),$P$35*$E$181%,MAX(($P$108-C175-$P$38),0)*$E$181%),0)</f>
        <v>0</v>
      </c>
      <c r="L175" s="1">
        <f>IF(($P$108-C175)&gt;0,IF($P$39&lt;($P$108-C175-$P$35-$P$38),$P$39*$E$182%,MAX(($P$108-C175-$P$35-$P$38),0)*$E$182%),0)</f>
        <v>0</v>
      </c>
      <c r="M175" s="1">
        <f>IF(($P$108-C175)&gt;0,IF(($P$38+MAX($P$37-$P$64,0))&lt;($P$108-C175),($P$38+MAX($P$37-$P$64,0))*$E$183%,($P$108-C175)*$E$183%),0)</f>
        <v>0</v>
      </c>
      <c r="N175" s="1">
        <f>$P$34*30%</f>
        <v>0</v>
      </c>
    </row>
    <row r="176" spans="2:16" hidden="1">
      <c r="B176" s="77" t="s">
        <v>48</v>
      </c>
      <c r="C176" s="1">
        <v>250000</v>
      </c>
      <c r="D176" s="76">
        <f>SUM(H176:N176)</f>
        <v>0</v>
      </c>
      <c r="E176" s="1">
        <f>IF(($P$108-$D$180-SUM($P$34,$P$35,$P$38,$P$39,MAX($P$37-$P$64,0)))&gt;0,($P$108-$D$180-SUM($P$34,$P$35,$P$38,$P$39,MAX($P$37-$P$64,0))),0)</f>
        <v>0</v>
      </c>
      <c r="F176" s="1">
        <f>IF(($P$108-$D$179-E176-SUM($P$34,$P$35,$P$38,$P$39,MAX($P$37-$P$64,0)))&gt;0,($P$108-$D$179-E176-SUM($P$34,$P$35,$P$38,$P$39,MAX($P$37-$P$64,0))),0)</f>
        <v>0</v>
      </c>
      <c r="G176" s="1">
        <f>IF(($P$108-C176-E176-F176-SUM($P$34,$P$35,$P$38,$P$39,MAX($P$37-$P$64,0)))&gt;0,($P$108-C176-E176-F176-SUM($P$34,$P$35,$P$38,$P$39,MAX($P$37-$P$64,0))),0)</f>
        <v>0</v>
      </c>
      <c r="H176" s="1">
        <f>E176*$E$180%</f>
        <v>0</v>
      </c>
      <c r="I176" s="1">
        <f>F176*$E$179%</f>
        <v>0</v>
      </c>
      <c r="J176" s="1">
        <f>G176*$E$178%</f>
        <v>0</v>
      </c>
      <c r="K176" s="1">
        <f>IF(($P$108-C176)&gt;0,IF($P$35&lt;($P$108-C176-$P$38),$P$35*$E$181%,MAX(($P$108-C176-$P$38),0)*$E$181%),0)</f>
        <v>0</v>
      </c>
      <c r="L176" s="1">
        <f>IF(($P$108-C176)&gt;0,IF($P$39&lt;($P$108-C176-$P$35-$P$38),$P$39*$E$182%,MAX(($P$108-C176-$P$35-$P$38),0)*$E$182%),0)</f>
        <v>0</v>
      </c>
      <c r="M176" s="1">
        <f>IF(($P$108-C176)&gt;0,IF(($P$38+MAX($P$37-$P$64,0))&lt;($P$108-C176),($P$38+MAX($P$37-$P$64,0))*$E$183%,($P$108-C176)*$E$183%),0)</f>
        <v>0</v>
      </c>
      <c r="N176" s="1">
        <f>$P$34*30%</f>
        <v>0</v>
      </c>
    </row>
    <row r="177" spans="4:10" hidden="1"/>
    <row r="178" spans="4:10" hidden="1">
      <c r="D178" s="1">
        <v>250000</v>
      </c>
      <c r="E178" s="1">
        <v>5</v>
      </c>
    </row>
    <row r="179" spans="4:10" hidden="1">
      <c r="D179" s="1">
        <v>500000</v>
      </c>
      <c r="E179" s="1">
        <v>20</v>
      </c>
    </row>
    <row r="180" spans="4:10" hidden="1">
      <c r="D180" s="1">
        <v>1000000</v>
      </c>
      <c r="E180" s="1">
        <v>30</v>
      </c>
    </row>
    <row r="181" spans="4:10" hidden="1">
      <c r="D181" s="3" t="s">
        <v>120</v>
      </c>
      <c r="E181" s="1">
        <v>15</v>
      </c>
    </row>
    <row r="182" spans="4:10" hidden="1">
      <c r="D182" s="3" t="s">
        <v>158</v>
      </c>
      <c r="E182" s="1">
        <v>20</v>
      </c>
    </row>
    <row r="183" spans="4:10" hidden="1">
      <c r="D183" s="3" t="s">
        <v>159</v>
      </c>
      <c r="E183" s="1">
        <v>10</v>
      </c>
    </row>
    <row r="184" spans="4:10" hidden="1">
      <c r="D184" s="1" t="s">
        <v>212</v>
      </c>
      <c r="E184" s="1">
        <f>IF(P106&gt;10000000, C172*15%,0)</f>
        <v>0</v>
      </c>
      <c r="F184" s="1" t="s">
        <v>213</v>
      </c>
      <c r="G184" s="1">
        <f>IF(P106&gt;5000000, MIN(C172,I186)*10%,0)</f>
        <v>0</v>
      </c>
    </row>
    <row r="185" spans="4:10" hidden="1">
      <c r="D185" s="1" t="s">
        <v>149</v>
      </c>
      <c r="E185" s="1">
        <f>E184+C172</f>
        <v>0</v>
      </c>
      <c r="F185" s="1" t="s">
        <v>149</v>
      </c>
      <c r="G185" s="1">
        <f>G184+C172</f>
        <v>0</v>
      </c>
      <c r="H185" s="1" t="s">
        <v>210</v>
      </c>
      <c r="I185" s="1" t="s">
        <v>211</v>
      </c>
      <c r="J185" s="1" t="s">
        <v>216</v>
      </c>
    </row>
    <row r="186" spans="4:10" hidden="1">
      <c r="D186" s="1" t="s">
        <v>150</v>
      </c>
      <c r="E186" s="1">
        <f>(I186+J186-(P35+P38+P39)*30%)+P106-10000000+SUM(K176:M176)</f>
        <v>-6906250</v>
      </c>
      <c r="F186" s="1" t="s">
        <v>150</v>
      </c>
      <c r="G186" s="1">
        <f>(H186-(P35+P38+P39)*30%)+P106-5000000+SUM(K176:M176)</f>
        <v>-3687500</v>
      </c>
      <c r="H186" s="1">
        <f>IF(C5&gt;=80, 1300000, IF(C5&gt;=60,1310000, IF(C3=B160, 1312500, 1312500)))</f>
        <v>1312500</v>
      </c>
      <c r="I186" s="1">
        <f>IF(C5&gt;=80, 2800000, IF(C5&gt;=60,2810000, IF(C3=B160, 2812500, 2812500)))</f>
        <v>2812500</v>
      </c>
      <c r="J186" s="1">
        <f>I186*10%</f>
        <v>281250</v>
      </c>
    </row>
    <row r="187" spans="4:10" hidden="1">
      <c r="D187" s="1" t="s">
        <v>214</v>
      </c>
      <c r="E187" s="1">
        <f>IF(E184&gt;0, IF(AND(E185&gt;E186,E186&gt;0),E185-E186,0), 0)</f>
        <v>0</v>
      </c>
      <c r="F187" s="1" t="s">
        <v>214</v>
      </c>
      <c r="G187" s="1">
        <f>IF(G185&gt;G186,G185-G186,0)</f>
        <v>3687500</v>
      </c>
    </row>
    <row r="188" spans="4:10" hidden="1">
      <c r="D188" s="1" t="s">
        <v>215</v>
      </c>
      <c r="E188" s="1">
        <f>MAX(E184-E187,0)</f>
        <v>0</v>
      </c>
      <c r="F188" s="1" t="s">
        <v>215</v>
      </c>
      <c r="G188" s="1">
        <f>MAX(G184-G187,0)</f>
        <v>0</v>
      </c>
    </row>
    <row r="189" spans="4:10" hidden="1"/>
    <row r="190" spans="4:10" hidden="1"/>
    <row r="191" spans="4:10" hidden="1">
      <c r="D191" s="1" t="s">
        <v>170</v>
      </c>
      <c r="E191" s="1">
        <f>IF(P70-P34&lt;P34,P34,P70-P34)</f>
        <v>0</v>
      </c>
    </row>
    <row r="192" spans="4:10" hidden="1">
      <c r="D192" s="1" t="s">
        <v>171</v>
      </c>
      <c r="E192" s="1">
        <f>E191-P35-P38-P39</f>
        <v>0</v>
      </c>
      <c r="J192" s="1">
        <v>225000</v>
      </c>
    </row>
    <row r="193" spans="3:10" hidden="1">
      <c r="D193" s="1" t="s">
        <v>172</v>
      </c>
      <c r="E193" s="1">
        <f>IF(E192&lt;P34,P34,E192)</f>
        <v>0</v>
      </c>
      <c r="J193" s="1">
        <f>I186+J186+E184-E185</f>
        <v>3093750</v>
      </c>
    </row>
    <row r="194" spans="3:10" hidden="1">
      <c r="D194" s="1" t="s">
        <v>173</v>
      </c>
      <c r="E194" s="1">
        <f>SUM(P89:P102)</f>
        <v>0</v>
      </c>
    </row>
    <row r="195" spans="3:10" hidden="1">
      <c r="D195" s="1" t="s">
        <v>174</v>
      </c>
      <c r="E195" s="1">
        <f>IF(E193&gt;E194,E191-E194,E191-E193)</f>
        <v>0</v>
      </c>
    </row>
    <row r="196" spans="3:10" hidden="1">
      <c r="C196" s="1" t="s">
        <v>180</v>
      </c>
    </row>
    <row r="197" spans="3:10" hidden="1">
      <c r="D197" s="1" t="s">
        <v>175</v>
      </c>
      <c r="E197" s="1">
        <f>E191-P34-MIN(P38+P39 + P32+P33, E191 - P34)</f>
        <v>0</v>
      </c>
    </row>
    <row r="198" spans="3:10" hidden="1">
      <c r="D198" s="1" t="s">
        <v>176</v>
      </c>
      <c r="E198" s="1">
        <f>MAX(E195-E199,0)</f>
        <v>0</v>
      </c>
    </row>
    <row r="199" spans="3:10" hidden="1">
      <c r="D199" s="1" t="s">
        <v>177</v>
      </c>
      <c r="E199" s="1">
        <f>IF(C5&gt;=80, C173, IF(C5&gt;=60,C174, IF(C3=B160, C175, C176)))</f>
        <v>250000</v>
      </c>
    </row>
    <row r="200" spans="3:10" hidden="1">
      <c r="D200" s="1" t="s">
        <v>178</v>
      </c>
      <c r="E200" s="1">
        <f>P38+P39</f>
        <v>0</v>
      </c>
    </row>
    <row r="201" spans="3:10" hidden="1">
      <c r="D201" s="1" t="s">
        <v>179</v>
      </c>
      <c r="E201" s="1">
        <f>MIN(E197,P35,E198)</f>
        <v>0</v>
      </c>
      <c r="F201" s="1">
        <f>ROUND(E201*15%,0)</f>
        <v>0</v>
      </c>
    </row>
    <row r="202" spans="3:10" hidden="1">
      <c r="D202" s="1" t="s">
        <v>172</v>
      </c>
      <c r="E202" s="1">
        <f>MIN(E198,P38+P39,E191-P34)</f>
        <v>0</v>
      </c>
    </row>
    <row r="203" spans="3:10" hidden="1">
      <c r="D203" s="1" t="s">
        <v>159</v>
      </c>
      <c r="E203" s="1">
        <f>MIN(E202,P38)</f>
        <v>0</v>
      </c>
      <c r="F203" s="1">
        <f>ROUND(E203*10%,0)</f>
        <v>0</v>
      </c>
    </row>
    <row r="204" spans="3:10" hidden="1">
      <c r="D204" s="1" t="s">
        <v>158</v>
      </c>
      <c r="E204" s="1">
        <f>E202-E203</f>
        <v>0</v>
      </c>
      <c r="F204" s="1">
        <f>ROUND(E204*20%,0)</f>
        <v>0</v>
      </c>
    </row>
    <row r="205" spans="3:10" hidden="1">
      <c r="D205" s="1" t="s">
        <v>181</v>
      </c>
      <c r="E205" s="1">
        <f>P34</f>
        <v>0</v>
      </c>
      <c r="F205" s="1">
        <f>ROUND(E205*30%,0)</f>
        <v>0</v>
      </c>
    </row>
    <row r="206" spans="3:10" hidden="1"/>
    <row r="207" spans="3:10" hidden="1">
      <c r="D207" s="1" t="s">
        <v>174</v>
      </c>
      <c r="E207" s="1">
        <f>IF(AND(E195&gt;E199,P30&gt;5000),E195+P30,E195)</f>
        <v>0</v>
      </c>
    </row>
    <row r="208" spans="3:10" hidden="1">
      <c r="D208" s="1" t="s">
        <v>174</v>
      </c>
      <c r="E208" s="1">
        <f>MAX(E207-MIN(P35,E197)+P38+P39+P34,0)</f>
        <v>0</v>
      </c>
    </row>
    <row r="209" spans="4:10" hidden="1">
      <c r="D209" s="1" t="s">
        <v>182</v>
      </c>
      <c r="E209" s="1">
        <f>MAX(E195-MIN(P35,E197)+P38+P39+P34,0)</f>
        <v>0</v>
      </c>
    </row>
    <row r="210" spans="4:10" hidden="1">
      <c r="D210" s="1" t="s">
        <v>183</v>
      </c>
      <c r="E210" s="1">
        <f>P34+P35+P38+P39</f>
        <v>0</v>
      </c>
    </row>
    <row r="211" spans="4:10" hidden="1">
      <c r="D211" s="1" t="s">
        <v>184</v>
      </c>
      <c r="E211" s="1">
        <f>E199+P30</f>
        <v>250000</v>
      </c>
      <c r="G211" s="1" t="s">
        <v>190</v>
      </c>
      <c r="H211" s="1" t="s">
        <v>191</v>
      </c>
      <c r="I211" s="1" t="s">
        <v>192</v>
      </c>
      <c r="J211" s="1" t="s">
        <v>149</v>
      </c>
    </row>
    <row r="212" spans="4:10" hidden="1">
      <c r="D212" s="1" t="s">
        <v>185</v>
      </c>
      <c r="E212" s="1">
        <f>IF(E208&lt;=C174,0,IF(E208&lt;=D179,(E208-C174)*10%,IF(E208&lt;=D180,(E208-D179)*20%+20000,(E208-D180)*30%+120000)))</f>
        <v>0</v>
      </c>
      <c r="F212" s="1">
        <f>IF(E211&lt;=C174,0,IF(E211&lt;=D179,(E211-C174)*10%,IF(E211&lt;=D180,(E211-D179)*20%+25000,(E211-D180)*30%+125000)))</f>
        <v>0</v>
      </c>
      <c r="G212" s="1">
        <f>ROUND(MAX(E212-F212,0),0)</f>
        <v>0</v>
      </c>
      <c r="H212" s="1">
        <f>G212+F201+F203+F204+F205</f>
        <v>0</v>
      </c>
      <c r="I212" s="1">
        <f>IF($E$208&lt;=500000,MAX(H212-2000,0),H212)</f>
        <v>0</v>
      </c>
    </row>
    <row r="213" spans="4:10" hidden="1">
      <c r="D213" s="1" t="s">
        <v>186</v>
      </c>
      <c r="E213" s="1">
        <f>IF(E208&lt;=C173,0,IF(E208&lt;=D180,(E208-D179)*20%,(E208-D180)*30%+100000))</f>
        <v>0</v>
      </c>
      <c r="F213" s="1">
        <f>IF(E211&lt;=C173,0,IF(E211&lt;=D180,(E211-D179)*20%,(E211-D180)*30%+100000))</f>
        <v>0</v>
      </c>
      <c r="G213" s="1">
        <f>ROUND(MAX(E213-F213,0),0)</f>
        <v>0</v>
      </c>
      <c r="H213" s="1">
        <f>G213+F201+F203+F204+F205</f>
        <v>0</v>
      </c>
      <c r="I213" s="1">
        <f>IF($E$208&lt;=500000,MAX(H213-2000,0),H213)</f>
        <v>0</v>
      </c>
    </row>
    <row r="214" spans="4:10" hidden="1">
      <c r="D214" s="1" t="s">
        <v>188</v>
      </c>
      <c r="E214" s="1">
        <f>IF(E208&lt;=C175,0,IF(E208&lt;=D179,(E208-C175)*10%,IF(E208&lt;=D180,(E208-D179)*20%+25000,(E208-D180)*30%+125000)))</f>
        <v>0</v>
      </c>
      <c r="F214" s="1">
        <f>IF(E211&lt;=C175,0,IF(E211&lt;=D179,(E211-C175)*10%,IF(E211&lt;=D180,(E211-D179)*20%+30000,(E211-D180)*30%+130000)))</f>
        <v>0</v>
      </c>
      <c r="G214" s="1">
        <f>ROUND(MAX(E214-F214,0),0)</f>
        <v>0</v>
      </c>
      <c r="H214" s="1">
        <f>G214+F201+F203+F204+F205</f>
        <v>0</v>
      </c>
      <c r="I214" s="1">
        <f>IF($E$208&lt;=500000,MAX(H214-2000,0),H214)</f>
        <v>0</v>
      </c>
    </row>
    <row r="215" spans="4:10" hidden="1">
      <c r="D215" s="1" t="s">
        <v>187</v>
      </c>
      <c r="E215" s="1">
        <f>IF(E208&lt;=C175,0,IF(E208&lt;=D179,(E208-C175)*10%,IF(E208&lt;=D180,(E208-D179)*20%+25000,(E208-D180)*30%+125000)))</f>
        <v>0</v>
      </c>
      <c r="F215" s="1">
        <f>IF(E211&lt;=C175,0,IF(E211&lt;=D179,(E211-C175)*10%,IF(E211&lt;=D180,(E211-D179)*20%+30000,(E211-D180)*30%+130000)))</f>
        <v>0</v>
      </c>
      <c r="G215" s="1">
        <f>ROUND(MAX(E215-F215,0),0)</f>
        <v>0</v>
      </c>
      <c r="H215" s="1">
        <f>G215+F201+F203+F204+F205</f>
        <v>0</v>
      </c>
      <c r="I215" s="1">
        <f>IF($E$208&lt;=500000,MAX(H215-2000,0),H215)</f>
        <v>0</v>
      </c>
    </row>
    <row r="216" spans="4:10" hidden="1">
      <c r="D216" s="1" t="s">
        <v>189</v>
      </c>
      <c r="E216" s="1">
        <f>F201+SUM(F203:F205)</f>
        <v>0</v>
      </c>
    </row>
    <row r="217" spans="4:10" hidden="1">
      <c r="D217" s="1" t="s">
        <v>193</v>
      </c>
      <c r="E217" s="1">
        <f>IF(C5&gt;=80, I213, IF(C5&gt;=60,I212, IF(C3=B160, I214, I215)))</f>
        <v>0</v>
      </c>
    </row>
    <row r="218" spans="4:10" hidden="1"/>
    <row r="219" spans="4:10" hidden="1">
      <c r="I219" s="81"/>
    </row>
    <row r="220" spans="4:10">
      <c r="I220" s="88" t="str">
        <f>IF(AND(P112-E217&gt;10,P112-E217&lt;-10),"ERROR","Success")</f>
        <v>Success</v>
      </c>
    </row>
  </sheetData>
  <mergeCells count="26">
    <mergeCell ref="B141:E141"/>
    <mergeCell ref="K138:O138"/>
    <mergeCell ref="P7:P8"/>
    <mergeCell ref="B40:C40"/>
    <mergeCell ref="B90:C90"/>
    <mergeCell ref="K7:K8"/>
    <mergeCell ref="N7:N8"/>
    <mergeCell ref="D92:G92"/>
    <mergeCell ref="F7:F8"/>
    <mergeCell ref="D96:G96"/>
    <mergeCell ref="D93:G93"/>
    <mergeCell ref="D94:G94"/>
    <mergeCell ref="J7:J8"/>
    <mergeCell ref="L7:L8"/>
    <mergeCell ref="M7:M8"/>
    <mergeCell ref="D60:E60"/>
    <mergeCell ref="B1:P1"/>
    <mergeCell ref="B2:P2"/>
    <mergeCell ref="B7:B8"/>
    <mergeCell ref="D7:D8"/>
    <mergeCell ref="E7:E8"/>
    <mergeCell ref="D3:P6"/>
    <mergeCell ref="G7:G8"/>
    <mergeCell ref="H7:H8"/>
    <mergeCell ref="I7:I8"/>
    <mergeCell ref="O7:O8"/>
  </mergeCells>
  <phoneticPr fontId="0" type="noConversion"/>
  <dataValidations count="9">
    <dataValidation type="list" allowBlank="1" showInputMessage="1" showErrorMessage="1" sqref="D92">
      <formula1>'2018-19'!$H$159:$H$160</formula1>
    </dataValidation>
    <dataValidation type="list" allowBlank="1" showInputMessage="1" showErrorMessage="1" sqref="D93 D96">
      <formula1>'2018-19'!$G$159:$G$160</formula1>
    </dataValidation>
    <dataValidation type="list" allowBlank="1" showInputMessage="1" showErrorMessage="1" sqref="D94">
      <formula1>'2018-19'!$L$159:$L$160</formula1>
    </dataValidation>
    <dataValidation type="list" allowBlank="1" showInputMessage="1" showErrorMessage="1" sqref="C3">
      <formula1>'2018-19'!$B$159:$B$160</formula1>
    </dataValidation>
    <dataValidation type="list" allowBlank="1" showInputMessage="1" showErrorMessage="1" sqref="D44:O44">
      <formula1>'2018-19'!$C$159:$C$160</formula1>
    </dataValidation>
    <dataValidation type="list" allowBlank="1" showInputMessage="1" showErrorMessage="1" sqref="C45">
      <formula1>'2018-19'!$O$159:$O$161</formula1>
    </dataValidation>
    <dataValidation type="list" allowBlank="1" showInputMessage="1" showErrorMessage="1" sqref="D67:E67">
      <formula1>'2018-19'!$R$159:$R$160</formula1>
    </dataValidation>
    <dataValidation type="list" allowBlank="1" showInputMessage="1" showErrorMessage="1" sqref="G67:H67">
      <formula1>'2018-19'!$U$159:$U$160</formula1>
    </dataValidation>
    <dataValidation type="list" allowBlank="1" showInputMessage="1" showErrorMessage="1" sqref="D60:E60">
      <formula1>'2018-19'!$J$159:$J$160</formula1>
    </dataValidation>
  </dataValidations>
  <hyperlinks>
    <hyperlink ref="B1" r:id="rId1"/>
  </hyperlinks>
  <printOptions horizontalCentered="1"/>
  <pageMargins left="0" right="0" top="0" bottom="0" header="0" footer="0"/>
  <pageSetup paperSize="9" orientation="landscape" r:id="rId2"/>
  <headerFooter alignWithMargins="0"/>
  <ignoredErrors>
    <ignoredError sqref="E148" formulaRange="1"/>
    <ignoredError sqref="E149 C73 C91 C54:C57 D132:O133 C86:C87 C75:C80 C48 C59:C60 E9:O11 E31:O31 E43:O43 C61 C81:C83 E44:F44 G44:O44 C49:C53 E16:O19 E15:N15 E20:O27 E12:O14" unlockedFormula="1"/>
    <ignoredError sqref="P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:M65"/>
  <sheetViews>
    <sheetView showGridLines="0" topLeftCell="A13" zoomScale="75" zoomScaleNormal="75" workbookViewId="0">
      <selection activeCell="E24" sqref="E24"/>
    </sheetView>
  </sheetViews>
  <sheetFormatPr defaultColWidth="9.140625" defaultRowHeight="15.75"/>
  <cols>
    <col min="1" max="1" width="4.42578125" style="13" customWidth="1"/>
    <col min="2" max="2" width="6.28515625" style="13" customWidth="1"/>
    <col min="3" max="3" width="44.140625" style="13" bestFit="1" customWidth="1"/>
    <col min="4" max="4" width="23" style="13" bestFit="1" customWidth="1"/>
    <col min="5" max="5" width="9.7109375" style="13" customWidth="1"/>
    <col min="6" max="6" width="19" style="13" bestFit="1" customWidth="1"/>
    <col min="7" max="7" width="15.42578125" style="13" customWidth="1"/>
    <col min="8" max="8" width="7" style="13" customWidth="1"/>
    <col min="9" max="9" width="40.7109375" style="13" bestFit="1" customWidth="1"/>
    <col min="10" max="10" width="17.85546875" style="13" customWidth="1"/>
    <col min="11" max="11" width="9.140625" style="13"/>
    <col min="12" max="12" width="27.42578125" style="13" bestFit="1" customWidth="1"/>
    <col min="13" max="13" width="13.7109375" style="13" customWidth="1"/>
    <col min="14" max="16384" width="9.140625" style="13"/>
  </cols>
  <sheetData>
    <row r="1" spans="3:13" ht="15" customHeight="1"/>
    <row r="2" spans="3:13" ht="22.5">
      <c r="C2" s="14" t="s">
        <v>68</v>
      </c>
    </row>
    <row r="3" spans="3:13">
      <c r="C3" s="15"/>
    </row>
    <row r="4" spans="3:13">
      <c r="C4" s="16" t="s">
        <v>70</v>
      </c>
      <c r="F4" s="84"/>
      <c r="G4" s="85"/>
      <c r="H4" s="85"/>
      <c r="I4" s="16" t="s">
        <v>71</v>
      </c>
      <c r="L4" s="16" t="s">
        <v>72</v>
      </c>
    </row>
    <row r="5" spans="3:13">
      <c r="C5" s="89" t="s">
        <v>2</v>
      </c>
      <c r="D5" s="22">
        <v>0</v>
      </c>
      <c r="F5" s="86"/>
      <c r="G5" s="86"/>
      <c r="H5" s="85"/>
      <c r="I5" s="89" t="s">
        <v>2</v>
      </c>
      <c r="J5" s="22">
        <v>0</v>
      </c>
      <c r="L5" s="89" t="s">
        <v>2</v>
      </c>
      <c r="M5" s="22">
        <v>0</v>
      </c>
    </row>
    <row r="6" spans="3:13">
      <c r="C6" s="89" t="s">
        <v>3</v>
      </c>
      <c r="D6" s="22">
        <v>0</v>
      </c>
      <c r="F6" s="86"/>
      <c r="G6" s="86"/>
      <c r="H6" s="85"/>
      <c r="I6" s="89" t="s">
        <v>3</v>
      </c>
      <c r="J6" s="22">
        <v>0</v>
      </c>
      <c r="L6" s="89" t="s">
        <v>3</v>
      </c>
      <c r="M6" s="22">
        <v>0</v>
      </c>
    </row>
    <row r="7" spans="3:13">
      <c r="C7" s="89" t="s">
        <v>4</v>
      </c>
      <c r="D7" s="22">
        <v>0</v>
      </c>
      <c r="F7" s="86"/>
      <c r="G7" s="86"/>
      <c r="H7" s="85"/>
      <c r="I7" s="89" t="s">
        <v>4</v>
      </c>
      <c r="J7" s="22">
        <v>0</v>
      </c>
      <c r="L7" s="89" t="s">
        <v>4</v>
      </c>
      <c r="M7" s="22">
        <v>0</v>
      </c>
    </row>
    <row r="8" spans="3:13">
      <c r="C8" s="89" t="s">
        <v>5</v>
      </c>
      <c r="D8" s="22">
        <v>0</v>
      </c>
      <c r="F8" s="86"/>
      <c r="G8" s="86"/>
      <c r="H8" s="85"/>
      <c r="I8" s="89" t="s">
        <v>5</v>
      </c>
      <c r="J8" s="22">
        <v>0</v>
      </c>
      <c r="L8" s="89" t="s">
        <v>5</v>
      </c>
      <c r="M8" s="22">
        <v>0</v>
      </c>
    </row>
    <row r="9" spans="3:13">
      <c r="C9" s="89" t="s">
        <v>6</v>
      </c>
      <c r="D9" s="22">
        <v>0</v>
      </c>
      <c r="F9" s="86"/>
      <c r="G9" s="86"/>
      <c r="H9" s="85"/>
      <c r="I9" s="89" t="s">
        <v>6</v>
      </c>
      <c r="J9" s="22">
        <v>0</v>
      </c>
      <c r="L9" s="89" t="s">
        <v>6</v>
      </c>
      <c r="M9" s="22">
        <v>0</v>
      </c>
    </row>
    <row r="10" spans="3:13">
      <c r="C10" s="89" t="s">
        <v>7</v>
      </c>
      <c r="D10" s="22">
        <v>0</v>
      </c>
      <c r="F10" s="86"/>
      <c r="G10" s="86"/>
      <c r="H10" s="85"/>
      <c r="I10" s="89" t="s">
        <v>7</v>
      </c>
      <c r="J10" s="22">
        <v>0</v>
      </c>
      <c r="L10" s="89" t="s">
        <v>7</v>
      </c>
      <c r="M10" s="22">
        <v>0</v>
      </c>
    </row>
    <row r="11" spans="3:13">
      <c r="C11" s="89" t="s">
        <v>8</v>
      </c>
      <c r="D11" s="22">
        <v>0</v>
      </c>
      <c r="F11" s="86"/>
      <c r="G11" s="86"/>
      <c r="H11" s="85"/>
      <c r="I11" s="89" t="s">
        <v>8</v>
      </c>
      <c r="J11" s="22">
        <v>0</v>
      </c>
      <c r="L11" s="89" t="s">
        <v>8</v>
      </c>
      <c r="M11" s="22">
        <v>0</v>
      </c>
    </row>
    <row r="12" spans="3:13">
      <c r="C12" s="89" t="s">
        <v>9</v>
      </c>
      <c r="D12" s="22">
        <v>0</v>
      </c>
      <c r="F12" s="86"/>
      <c r="G12" s="86"/>
      <c r="H12" s="85"/>
      <c r="I12" s="89" t="s">
        <v>9</v>
      </c>
      <c r="J12" s="22">
        <v>0</v>
      </c>
      <c r="L12" s="89" t="s">
        <v>9</v>
      </c>
      <c r="M12" s="22">
        <v>0</v>
      </c>
    </row>
    <row r="13" spans="3:13">
      <c r="C13" s="89" t="s">
        <v>10</v>
      </c>
      <c r="D13" s="22">
        <v>0</v>
      </c>
      <c r="F13" s="86"/>
      <c r="G13" s="86"/>
      <c r="H13" s="85"/>
      <c r="I13" s="89" t="s">
        <v>10</v>
      </c>
      <c r="J13" s="22">
        <v>0</v>
      </c>
      <c r="L13" s="89" t="s">
        <v>10</v>
      </c>
      <c r="M13" s="22">
        <v>0</v>
      </c>
    </row>
    <row r="14" spans="3:13">
      <c r="C14" s="89" t="s">
        <v>11</v>
      </c>
      <c r="D14" s="22">
        <v>0</v>
      </c>
      <c r="F14" s="86"/>
      <c r="G14" s="86"/>
      <c r="H14" s="85"/>
      <c r="I14" s="89" t="s">
        <v>11</v>
      </c>
      <c r="J14" s="22">
        <v>0</v>
      </c>
      <c r="L14" s="89" t="s">
        <v>11</v>
      </c>
      <c r="M14" s="22">
        <v>0</v>
      </c>
    </row>
    <row r="15" spans="3:13">
      <c r="C15" s="89" t="s">
        <v>12</v>
      </c>
      <c r="D15" s="22">
        <v>0</v>
      </c>
      <c r="F15" s="86"/>
      <c r="G15" s="86"/>
      <c r="H15" s="85"/>
      <c r="I15" s="89" t="s">
        <v>12</v>
      </c>
      <c r="J15" s="22">
        <v>0</v>
      </c>
      <c r="L15" s="89" t="s">
        <v>12</v>
      </c>
      <c r="M15" s="22">
        <v>0</v>
      </c>
    </row>
    <row r="16" spans="3:13">
      <c r="C16" s="89" t="s">
        <v>13</v>
      </c>
      <c r="D16" s="22">
        <v>0</v>
      </c>
      <c r="F16" s="86"/>
      <c r="G16" s="86"/>
      <c r="H16" s="85"/>
      <c r="I16" s="89" t="s">
        <v>13</v>
      </c>
      <c r="J16" s="22">
        <v>0</v>
      </c>
      <c r="L16" s="89" t="s">
        <v>13</v>
      </c>
      <c r="M16" s="22">
        <v>0</v>
      </c>
    </row>
    <row r="17" spans="3:13">
      <c r="C17" s="18" t="s">
        <v>14</v>
      </c>
      <c r="D17" s="19">
        <f>SUM(D5:D16)</f>
        <v>0</v>
      </c>
      <c r="F17" s="87"/>
      <c r="G17" s="87"/>
      <c r="H17" s="85"/>
      <c r="I17" s="18" t="s">
        <v>14</v>
      </c>
      <c r="J17" s="19">
        <f>SUM(J5:J16)</f>
        <v>0</v>
      </c>
      <c r="L17" s="18" t="s">
        <v>14</v>
      </c>
      <c r="M17" s="19">
        <f>SUM(M5:M16)</f>
        <v>0</v>
      </c>
    </row>
    <row r="18" spans="3:13" ht="15.75" customHeight="1">
      <c r="C18" s="18"/>
      <c r="D18" s="20"/>
      <c r="F18" s="85"/>
      <c r="G18" s="85"/>
      <c r="H18" s="85"/>
    </row>
    <row r="19" spans="3:13">
      <c r="C19" s="16"/>
      <c r="F19" s="13" t="s">
        <v>84</v>
      </c>
    </row>
    <row r="20" spans="3:13">
      <c r="C20" s="16" t="s">
        <v>73</v>
      </c>
      <c r="F20" s="16" t="s">
        <v>87</v>
      </c>
      <c r="I20" s="16" t="s">
        <v>88</v>
      </c>
      <c r="L20" s="16" t="s">
        <v>89</v>
      </c>
    </row>
    <row r="21" spans="3:13">
      <c r="C21" s="89" t="s">
        <v>2</v>
      </c>
      <c r="D21" s="22">
        <v>0</v>
      </c>
      <c r="F21" s="89" t="s">
        <v>2</v>
      </c>
      <c r="G21" s="22">
        <v>0</v>
      </c>
      <c r="I21" s="89" t="s">
        <v>2</v>
      </c>
      <c r="J21" s="22">
        <v>0</v>
      </c>
      <c r="L21" s="89" t="s">
        <v>2</v>
      </c>
      <c r="M21" s="22">
        <v>0</v>
      </c>
    </row>
    <row r="22" spans="3:13">
      <c r="C22" s="89" t="s">
        <v>3</v>
      </c>
      <c r="D22" s="22">
        <v>0</v>
      </c>
      <c r="F22" s="89" t="s">
        <v>3</v>
      </c>
      <c r="G22" s="22">
        <v>0</v>
      </c>
      <c r="I22" s="89" t="s">
        <v>3</v>
      </c>
      <c r="J22" s="22">
        <v>0</v>
      </c>
      <c r="L22" s="89" t="s">
        <v>3</v>
      </c>
      <c r="M22" s="22">
        <v>0</v>
      </c>
    </row>
    <row r="23" spans="3:13">
      <c r="C23" s="89" t="s">
        <v>4</v>
      </c>
      <c r="D23" s="22">
        <v>0</v>
      </c>
      <c r="F23" s="89" t="s">
        <v>4</v>
      </c>
      <c r="G23" s="22">
        <v>0</v>
      </c>
      <c r="I23" s="89" t="s">
        <v>4</v>
      </c>
      <c r="J23" s="22">
        <v>0</v>
      </c>
      <c r="L23" s="89" t="s">
        <v>4</v>
      </c>
      <c r="M23" s="22">
        <v>0</v>
      </c>
    </row>
    <row r="24" spans="3:13">
      <c r="C24" s="89" t="s">
        <v>5</v>
      </c>
      <c r="D24" s="22">
        <v>0</v>
      </c>
      <c r="F24" s="89" t="s">
        <v>5</v>
      </c>
      <c r="G24" s="22">
        <v>0</v>
      </c>
      <c r="I24" s="89" t="s">
        <v>5</v>
      </c>
      <c r="J24" s="22">
        <v>0</v>
      </c>
      <c r="L24" s="89" t="s">
        <v>5</v>
      </c>
      <c r="M24" s="22">
        <v>0</v>
      </c>
    </row>
    <row r="25" spans="3:13">
      <c r="C25" s="89" t="s">
        <v>6</v>
      </c>
      <c r="D25" s="22">
        <v>0</v>
      </c>
      <c r="F25" s="89" t="s">
        <v>6</v>
      </c>
      <c r="G25" s="22">
        <v>0</v>
      </c>
      <c r="I25" s="89" t="s">
        <v>6</v>
      </c>
      <c r="J25" s="22">
        <v>0</v>
      </c>
      <c r="L25" s="89" t="s">
        <v>6</v>
      </c>
      <c r="M25" s="22">
        <v>0</v>
      </c>
    </row>
    <row r="26" spans="3:13">
      <c r="C26" s="89" t="s">
        <v>7</v>
      </c>
      <c r="D26" s="22">
        <v>0</v>
      </c>
      <c r="F26" s="89" t="s">
        <v>7</v>
      </c>
      <c r="G26" s="22">
        <v>0</v>
      </c>
      <c r="I26" s="89" t="s">
        <v>7</v>
      </c>
      <c r="J26" s="22">
        <v>0</v>
      </c>
      <c r="L26" s="89" t="s">
        <v>7</v>
      </c>
      <c r="M26" s="22">
        <v>0</v>
      </c>
    </row>
    <row r="27" spans="3:13">
      <c r="C27" s="89" t="s">
        <v>8</v>
      </c>
      <c r="D27" s="22">
        <v>0</v>
      </c>
      <c r="F27" s="89" t="s">
        <v>8</v>
      </c>
      <c r="G27" s="22">
        <v>0</v>
      </c>
      <c r="I27" s="89" t="s">
        <v>8</v>
      </c>
      <c r="J27" s="22">
        <v>0</v>
      </c>
      <c r="L27" s="89" t="s">
        <v>8</v>
      </c>
      <c r="M27" s="22">
        <v>0</v>
      </c>
    </row>
    <row r="28" spans="3:13">
      <c r="C28" s="89" t="s">
        <v>9</v>
      </c>
      <c r="D28" s="22">
        <v>0</v>
      </c>
      <c r="F28" s="89" t="s">
        <v>9</v>
      </c>
      <c r="G28" s="22">
        <v>0</v>
      </c>
      <c r="I28" s="89" t="s">
        <v>9</v>
      </c>
      <c r="J28" s="22">
        <v>0</v>
      </c>
      <c r="L28" s="89" t="s">
        <v>9</v>
      </c>
      <c r="M28" s="22">
        <v>0</v>
      </c>
    </row>
    <row r="29" spans="3:13">
      <c r="C29" s="89" t="s">
        <v>10</v>
      </c>
      <c r="D29" s="22">
        <v>0</v>
      </c>
      <c r="F29" s="89" t="s">
        <v>10</v>
      </c>
      <c r="G29" s="22">
        <v>0</v>
      </c>
      <c r="I29" s="89" t="s">
        <v>10</v>
      </c>
      <c r="J29" s="22">
        <v>0</v>
      </c>
      <c r="L29" s="89" t="s">
        <v>10</v>
      </c>
      <c r="M29" s="22">
        <v>0</v>
      </c>
    </row>
    <row r="30" spans="3:13">
      <c r="C30" s="89" t="s">
        <v>11</v>
      </c>
      <c r="D30" s="22">
        <v>0</v>
      </c>
      <c r="F30" s="89" t="s">
        <v>11</v>
      </c>
      <c r="G30" s="22">
        <v>0</v>
      </c>
      <c r="I30" s="89" t="s">
        <v>11</v>
      </c>
      <c r="J30" s="22">
        <v>0</v>
      </c>
      <c r="L30" s="89" t="s">
        <v>11</v>
      </c>
      <c r="M30" s="22">
        <v>0</v>
      </c>
    </row>
    <row r="31" spans="3:13">
      <c r="C31" s="89" t="s">
        <v>12</v>
      </c>
      <c r="D31" s="22">
        <v>0</v>
      </c>
      <c r="F31" s="89" t="s">
        <v>12</v>
      </c>
      <c r="G31" s="22">
        <v>0</v>
      </c>
      <c r="I31" s="89" t="s">
        <v>12</v>
      </c>
      <c r="J31" s="22">
        <v>0</v>
      </c>
      <c r="L31" s="89" t="s">
        <v>12</v>
      </c>
      <c r="M31" s="22">
        <v>0</v>
      </c>
    </row>
    <row r="32" spans="3:13">
      <c r="C32" s="89" t="s">
        <v>13</v>
      </c>
      <c r="D32" s="22">
        <v>0</v>
      </c>
      <c r="F32" s="89" t="s">
        <v>13</v>
      </c>
      <c r="G32" s="22">
        <v>0</v>
      </c>
      <c r="I32" s="89" t="s">
        <v>13</v>
      </c>
      <c r="J32" s="22">
        <v>0</v>
      </c>
      <c r="L32" s="89" t="s">
        <v>13</v>
      </c>
      <c r="M32" s="22">
        <v>0</v>
      </c>
    </row>
    <row r="33" spans="3:13">
      <c r="C33" s="18" t="s">
        <v>14</v>
      </c>
      <c r="D33" s="19">
        <f>SUM(D21:D32)</f>
        <v>0</v>
      </c>
      <c r="F33" s="18" t="s">
        <v>14</v>
      </c>
      <c r="G33" s="19">
        <f>SUM(G21:G32)</f>
        <v>0</v>
      </c>
      <c r="I33" s="18" t="s">
        <v>14</v>
      </c>
      <c r="J33" s="19">
        <f>SUM(J21:J32)</f>
        <v>0</v>
      </c>
      <c r="L33" s="18" t="s">
        <v>14</v>
      </c>
      <c r="M33" s="19">
        <f>SUM(M21:M32)</f>
        <v>0</v>
      </c>
    </row>
    <row r="34" spans="3:13">
      <c r="C34" s="16"/>
    </row>
    <row r="35" spans="3:13">
      <c r="C35" s="16" t="s">
        <v>101</v>
      </c>
      <c r="F35" s="16" t="s">
        <v>75</v>
      </c>
      <c r="I35" s="16" t="s">
        <v>28</v>
      </c>
      <c r="L35" s="16" t="s">
        <v>90</v>
      </c>
    </row>
    <row r="36" spans="3:13">
      <c r="C36" s="89" t="s">
        <v>2</v>
      </c>
      <c r="D36" s="22">
        <v>0</v>
      </c>
      <c r="F36" s="89" t="s">
        <v>2</v>
      </c>
      <c r="G36" s="22">
        <v>0</v>
      </c>
      <c r="I36" s="89" t="s">
        <v>2</v>
      </c>
      <c r="J36" s="22">
        <v>0</v>
      </c>
      <c r="L36" s="89" t="s">
        <v>2</v>
      </c>
      <c r="M36" s="22">
        <v>0</v>
      </c>
    </row>
    <row r="37" spans="3:13">
      <c r="C37" s="89" t="s">
        <v>3</v>
      </c>
      <c r="D37" s="22">
        <v>0</v>
      </c>
      <c r="F37" s="89" t="s">
        <v>3</v>
      </c>
      <c r="G37" s="22">
        <v>0</v>
      </c>
      <c r="I37" s="89" t="s">
        <v>3</v>
      </c>
      <c r="J37" s="22">
        <v>0</v>
      </c>
      <c r="L37" s="89" t="s">
        <v>3</v>
      </c>
      <c r="M37" s="22">
        <v>0</v>
      </c>
    </row>
    <row r="38" spans="3:13">
      <c r="C38" s="89" t="s">
        <v>4</v>
      </c>
      <c r="D38" s="22">
        <v>0</v>
      </c>
      <c r="F38" s="89" t="s">
        <v>4</v>
      </c>
      <c r="G38" s="22">
        <v>0</v>
      </c>
      <c r="I38" s="89" t="s">
        <v>4</v>
      </c>
      <c r="J38" s="22">
        <v>0</v>
      </c>
      <c r="L38" s="89" t="s">
        <v>4</v>
      </c>
      <c r="M38" s="22">
        <v>0</v>
      </c>
    </row>
    <row r="39" spans="3:13">
      <c r="C39" s="89" t="s">
        <v>5</v>
      </c>
      <c r="D39" s="22">
        <v>0</v>
      </c>
      <c r="F39" s="89" t="s">
        <v>5</v>
      </c>
      <c r="G39" s="22">
        <v>0</v>
      </c>
      <c r="I39" s="89" t="s">
        <v>5</v>
      </c>
      <c r="J39" s="22">
        <v>0</v>
      </c>
      <c r="L39" s="89" t="s">
        <v>5</v>
      </c>
      <c r="M39" s="22">
        <v>0</v>
      </c>
    </row>
    <row r="40" spans="3:13">
      <c r="C40" s="89" t="s">
        <v>6</v>
      </c>
      <c r="D40" s="22">
        <v>0</v>
      </c>
      <c r="F40" s="89" t="s">
        <v>6</v>
      </c>
      <c r="G40" s="22">
        <v>0</v>
      </c>
      <c r="I40" s="89" t="s">
        <v>6</v>
      </c>
      <c r="J40" s="22">
        <v>0</v>
      </c>
      <c r="L40" s="89" t="s">
        <v>6</v>
      </c>
      <c r="M40" s="22">
        <v>0</v>
      </c>
    </row>
    <row r="41" spans="3:13">
      <c r="C41" s="89" t="s">
        <v>7</v>
      </c>
      <c r="D41" s="22">
        <v>0</v>
      </c>
      <c r="F41" s="89" t="s">
        <v>7</v>
      </c>
      <c r="G41" s="22">
        <v>0</v>
      </c>
      <c r="I41" s="89" t="s">
        <v>7</v>
      </c>
      <c r="J41" s="22">
        <v>0</v>
      </c>
      <c r="L41" s="89" t="s">
        <v>7</v>
      </c>
      <c r="M41" s="22">
        <v>0</v>
      </c>
    </row>
    <row r="42" spans="3:13">
      <c r="C42" s="89" t="s">
        <v>8</v>
      </c>
      <c r="D42" s="22">
        <v>0</v>
      </c>
      <c r="F42" s="89" t="s">
        <v>8</v>
      </c>
      <c r="G42" s="22">
        <v>0</v>
      </c>
      <c r="I42" s="89" t="s">
        <v>8</v>
      </c>
      <c r="J42" s="22">
        <v>0</v>
      </c>
      <c r="L42" s="89" t="s">
        <v>8</v>
      </c>
      <c r="M42" s="22">
        <v>0</v>
      </c>
    </row>
    <row r="43" spans="3:13">
      <c r="C43" s="89" t="s">
        <v>9</v>
      </c>
      <c r="D43" s="22">
        <v>0</v>
      </c>
      <c r="F43" s="89" t="s">
        <v>9</v>
      </c>
      <c r="G43" s="22">
        <v>0</v>
      </c>
      <c r="I43" s="89" t="s">
        <v>9</v>
      </c>
      <c r="J43" s="22">
        <v>0</v>
      </c>
      <c r="L43" s="89" t="s">
        <v>9</v>
      </c>
      <c r="M43" s="22">
        <v>0</v>
      </c>
    </row>
    <row r="44" spans="3:13">
      <c r="C44" s="89" t="s">
        <v>10</v>
      </c>
      <c r="D44" s="22">
        <v>0</v>
      </c>
      <c r="F44" s="89" t="s">
        <v>10</v>
      </c>
      <c r="G44" s="22">
        <v>0</v>
      </c>
      <c r="I44" s="89" t="s">
        <v>10</v>
      </c>
      <c r="J44" s="22">
        <v>0</v>
      </c>
      <c r="L44" s="89" t="s">
        <v>10</v>
      </c>
      <c r="M44" s="22">
        <v>0</v>
      </c>
    </row>
    <row r="45" spans="3:13">
      <c r="C45" s="89" t="s">
        <v>11</v>
      </c>
      <c r="D45" s="22">
        <v>0</v>
      </c>
      <c r="F45" s="89" t="s">
        <v>11</v>
      </c>
      <c r="G45" s="22">
        <v>0</v>
      </c>
      <c r="I45" s="89" t="s">
        <v>11</v>
      </c>
      <c r="J45" s="22">
        <v>0</v>
      </c>
      <c r="L45" s="89" t="s">
        <v>11</v>
      </c>
      <c r="M45" s="22">
        <v>0</v>
      </c>
    </row>
    <row r="46" spans="3:13">
      <c r="C46" s="89" t="s">
        <v>12</v>
      </c>
      <c r="D46" s="22">
        <v>0</v>
      </c>
      <c r="F46" s="89" t="s">
        <v>12</v>
      </c>
      <c r="G46" s="22">
        <v>0</v>
      </c>
      <c r="I46" s="89" t="s">
        <v>12</v>
      </c>
      <c r="J46" s="22">
        <v>0</v>
      </c>
      <c r="L46" s="89" t="s">
        <v>12</v>
      </c>
      <c r="M46" s="22">
        <v>0</v>
      </c>
    </row>
    <row r="47" spans="3:13">
      <c r="C47" s="89" t="s">
        <v>13</v>
      </c>
      <c r="D47" s="22">
        <v>0</v>
      </c>
      <c r="F47" s="89" t="s">
        <v>13</v>
      </c>
      <c r="G47" s="22">
        <v>0</v>
      </c>
      <c r="I47" s="89" t="s">
        <v>13</v>
      </c>
      <c r="J47" s="22">
        <v>0</v>
      </c>
      <c r="L47" s="89" t="s">
        <v>13</v>
      </c>
      <c r="M47" s="22">
        <v>0</v>
      </c>
    </row>
    <row r="48" spans="3:13">
      <c r="C48" s="18" t="s">
        <v>14</v>
      </c>
      <c r="D48" s="19">
        <f>SUM(D36:D47)</f>
        <v>0</v>
      </c>
      <c r="F48" s="18" t="s">
        <v>14</v>
      </c>
      <c r="G48" s="19">
        <f>SUM(G36:G47)</f>
        <v>0</v>
      </c>
      <c r="I48" s="18" t="s">
        <v>14</v>
      </c>
      <c r="J48" s="19">
        <f>SUM(J36:J47)</f>
        <v>0</v>
      </c>
      <c r="L48" s="18" t="s">
        <v>14</v>
      </c>
      <c r="M48" s="19">
        <f>SUM(M36:M47)</f>
        <v>0</v>
      </c>
    </row>
    <row r="49" spans="3:4">
      <c r="C49" s="17"/>
      <c r="D49" s="20"/>
    </row>
    <row r="50" spans="3:4">
      <c r="C50" s="16" t="s">
        <v>91</v>
      </c>
    </row>
    <row r="51" spans="3:4">
      <c r="C51" s="89" t="s">
        <v>2</v>
      </c>
      <c r="D51" s="22">
        <v>0</v>
      </c>
    </row>
    <row r="52" spans="3:4">
      <c r="C52" s="89" t="s">
        <v>3</v>
      </c>
      <c r="D52" s="22">
        <v>0</v>
      </c>
    </row>
    <row r="53" spans="3:4">
      <c r="C53" s="89" t="s">
        <v>4</v>
      </c>
      <c r="D53" s="22">
        <v>0</v>
      </c>
    </row>
    <row r="54" spans="3:4">
      <c r="C54" s="89" t="s">
        <v>5</v>
      </c>
      <c r="D54" s="22">
        <v>0</v>
      </c>
    </row>
    <row r="55" spans="3:4">
      <c r="C55" s="89" t="s">
        <v>6</v>
      </c>
      <c r="D55" s="22">
        <v>0</v>
      </c>
    </row>
    <row r="56" spans="3:4">
      <c r="C56" s="89" t="s">
        <v>7</v>
      </c>
      <c r="D56" s="22">
        <v>0</v>
      </c>
    </row>
    <row r="57" spans="3:4">
      <c r="C57" s="89" t="s">
        <v>8</v>
      </c>
      <c r="D57" s="22">
        <v>0</v>
      </c>
    </row>
    <row r="58" spans="3:4">
      <c r="C58" s="89" t="s">
        <v>9</v>
      </c>
      <c r="D58" s="22">
        <v>0</v>
      </c>
    </row>
    <row r="59" spans="3:4">
      <c r="C59" s="89" t="s">
        <v>10</v>
      </c>
      <c r="D59" s="22">
        <v>0</v>
      </c>
    </row>
    <row r="60" spans="3:4">
      <c r="C60" s="89" t="s">
        <v>11</v>
      </c>
      <c r="D60" s="22">
        <v>0</v>
      </c>
    </row>
    <row r="61" spans="3:4">
      <c r="C61" s="89" t="s">
        <v>12</v>
      </c>
      <c r="D61" s="22">
        <v>0</v>
      </c>
    </row>
    <row r="62" spans="3:4">
      <c r="C62" s="89" t="s">
        <v>13</v>
      </c>
      <c r="D62" s="22">
        <v>0</v>
      </c>
    </row>
    <row r="63" spans="3:4">
      <c r="C63" s="18" t="s">
        <v>14</v>
      </c>
      <c r="D63" s="19">
        <f>SUM(D51:D62)</f>
        <v>0</v>
      </c>
    </row>
    <row r="65" spans="3:4">
      <c r="C65" s="15" t="s">
        <v>69</v>
      </c>
      <c r="D65" s="21">
        <f xml:space="preserve"> SUM(D17,G17,J17,M17,D33,G33,J33,M33,D48,G48,J48,M48,D63)</f>
        <v>0</v>
      </c>
    </row>
  </sheetData>
  <sheetProtection password="CA98" sheet="1"/>
  <printOptions horizontalCentered="1"/>
  <pageMargins left="0.87598425199999996" right="0.74803149606299202" top="0.734251969" bottom="0.734251969" header="0.511811023622047" footer="0.511811023622047"/>
  <pageSetup scale="4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72"/>
  <sheetViews>
    <sheetView topLeftCell="A25" workbookViewId="0">
      <selection activeCell="I66" sqref="I66"/>
    </sheetView>
  </sheetViews>
  <sheetFormatPr defaultColWidth="10.85546875" defaultRowHeight="15"/>
  <cols>
    <col min="1" max="1" width="10.85546875" style="92"/>
    <col min="2" max="2" width="4" style="92" customWidth="1"/>
    <col min="3" max="3" width="54.85546875" style="92" customWidth="1"/>
    <col min="4" max="4" width="3.85546875" style="92" customWidth="1"/>
    <col min="5" max="5" width="10.85546875" style="92"/>
    <col min="6" max="6" width="3.85546875" style="92" customWidth="1"/>
    <col min="7" max="7" width="10.85546875" style="92"/>
    <col min="8" max="8" width="4.140625" style="92" bestFit="1" customWidth="1"/>
    <col min="9" max="9" width="10.85546875" style="92"/>
    <col min="10" max="10" width="3.42578125" style="92" bestFit="1" customWidth="1"/>
    <col min="11" max="16384" width="10.85546875" style="92"/>
  </cols>
  <sheetData>
    <row r="1" spans="2:7" ht="15.75">
      <c r="B1" s="91" t="s">
        <v>227</v>
      </c>
    </row>
    <row r="2" spans="2:7">
      <c r="B2" s="92">
        <v>1</v>
      </c>
      <c r="C2" s="92" t="s">
        <v>228</v>
      </c>
    </row>
    <row r="3" spans="2:7">
      <c r="C3" s="94" t="s">
        <v>229</v>
      </c>
      <c r="D3" s="92" t="s">
        <v>233</v>
      </c>
      <c r="E3" s="95">
        <f>SUM('2018-19'!P9:P27)-SUM('2018-19'!P50:P58)+'2018-19'!P132</f>
        <v>0</v>
      </c>
    </row>
    <row r="4" spans="2:7" ht="30">
      <c r="C4" s="93" t="s">
        <v>230</v>
      </c>
      <c r="D4" s="92" t="s">
        <v>233</v>
      </c>
      <c r="E4" s="96">
        <v>0</v>
      </c>
    </row>
    <row r="5" spans="2:7" ht="30">
      <c r="C5" s="93" t="s">
        <v>231</v>
      </c>
      <c r="D5" s="92" t="s">
        <v>233</v>
      </c>
      <c r="E5" s="96">
        <v>0</v>
      </c>
    </row>
    <row r="6" spans="2:7">
      <c r="C6" s="93" t="s">
        <v>232</v>
      </c>
      <c r="F6" s="92" t="s">
        <v>233</v>
      </c>
      <c r="G6" s="95">
        <f>E3+E4+E5</f>
        <v>0</v>
      </c>
    </row>
    <row r="8" spans="2:7">
      <c r="B8" s="92">
        <v>2</v>
      </c>
      <c r="C8" s="92" t="s">
        <v>234</v>
      </c>
    </row>
    <row r="9" spans="2:7">
      <c r="C9" s="92" t="s">
        <v>235</v>
      </c>
      <c r="D9" s="92" t="s">
        <v>233</v>
      </c>
      <c r="E9" s="95">
        <f>'2018-19'!P45</f>
        <v>0</v>
      </c>
    </row>
    <row r="10" spans="2:7">
      <c r="C10" s="92" t="s">
        <v>271</v>
      </c>
      <c r="D10" s="92" t="s">
        <v>233</v>
      </c>
      <c r="E10" s="96">
        <v>0</v>
      </c>
    </row>
    <row r="11" spans="2:7">
      <c r="C11" s="92" t="s">
        <v>266</v>
      </c>
      <c r="D11" s="92" t="s">
        <v>233</v>
      </c>
      <c r="E11" s="95">
        <f>'2018-19'!P48</f>
        <v>0</v>
      </c>
    </row>
    <row r="12" spans="2:7">
      <c r="C12" s="92" t="s">
        <v>267</v>
      </c>
      <c r="D12" s="92" t="s">
        <v>233</v>
      </c>
      <c r="E12" s="95">
        <f>'2018-19'!P59</f>
        <v>0</v>
      </c>
    </row>
    <row r="13" spans="2:7">
      <c r="C13" s="92" t="s">
        <v>268</v>
      </c>
      <c r="D13" s="92" t="s">
        <v>233</v>
      </c>
      <c r="E13" s="95">
        <f>'2018-19'!P49</f>
        <v>0</v>
      </c>
    </row>
    <row r="14" spans="2:7">
      <c r="C14" s="92" t="s">
        <v>269</v>
      </c>
      <c r="D14" s="92" t="s">
        <v>233</v>
      </c>
      <c r="E14" s="95">
        <f>'2018-19'!P60</f>
        <v>0</v>
      </c>
    </row>
    <row r="15" spans="2:7">
      <c r="C15" s="92" t="s">
        <v>270</v>
      </c>
      <c r="F15" s="92" t="s">
        <v>233</v>
      </c>
      <c r="G15" s="95">
        <f>SUM(E9:E14)</f>
        <v>0</v>
      </c>
    </row>
    <row r="17" spans="2:9">
      <c r="B17" s="92">
        <v>3</v>
      </c>
      <c r="C17" s="92" t="s">
        <v>237</v>
      </c>
      <c r="F17" s="92" t="s">
        <v>233</v>
      </c>
      <c r="G17" s="95">
        <f>G6-G15</f>
        <v>0</v>
      </c>
    </row>
    <row r="19" spans="2:9">
      <c r="B19" s="92">
        <v>4</v>
      </c>
      <c r="C19" s="92" t="s">
        <v>238</v>
      </c>
    </row>
    <row r="20" spans="2:9">
      <c r="C20" s="92" t="s">
        <v>239</v>
      </c>
      <c r="D20" s="92" t="s">
        <v>233</v>
      </c>
      <c r="E20" s="96">
        <v>0</v>
      </c>
    </row>
    <row r="21" spans="2:9">
      <c r="C21" s="92" t="s">
        <v>240</v>
      </c>
      <c r="D21" s="92" t="s">
        <v>233</v>
      </c>
      <c r="E21" s="95">
        <f>'2018-19'!P122</f>
        <v>0</v>
      </c>
    </row>
    <row r="23" spans="2:9">
      <c r="B23" s="92">
        <v>5</v>
      </c>
      <c r="C23" s="92" t="s">
        <v>241</v>
      </c>
      <c r="F23" s="92" t="s">
        <v>233</v>
      </c>
      <c r="G23" s="95">
        <f>SUM(E20:E21)</f>
        <v>0</v>
      </c>
    </row>
    <row r="25" spans="2:9">
      <c r="B25" s="92">
        <v>6</v>
      </c>
      <c r="C25" s="92" t="s">
        <v>242</v>
      </c>
      <c r="H25" s="92" t="s">
        <v>233</v>
      </c>
      <c r="I25" s="95">
        <f>G17-G23</f>
        <v>0</v>
      </c>
    </row>
    <row r="27" spans="2:9">
      <c r="B27" s="92">
        <v>7</v>
      </c>
      <c r="C27" s="92" t="s">
        <v>243</v>
      </c>
    </row>
    <row r="28" spans="2:9">
      <c r="C28" s="92" t="s">
        <v>245</v>
      </c>
      <c r="D28" s="92" t="s">
        <v>233</v>
      </c>
      <c r="E28" s="95">
        <f>'2018-19'!P31-'2018-19'!P61-SUM('2018-19'!P67:P69)</f>
        <v>0</v>
      </c>
    </row>
    <row r="29" spans="2:9">
      <c r="C29" s="92" t="s">
        <v>272</v>
      </c>
      <c r="D29" s="92" t="s">
        <v>233</v>
      </c>
      <c r="E29" s="95">
        <f>'2018-19'!P32</f>
        <v>0</v>
      </c>
    </row>
    <row r="30" spans="2:9">
      <c r="C30" s="92" t="s">
        <v>273</v>
      </c>
      <c r="D30" s="92" t="s">
        <v>233</v>
      </c>
      <c r="E30" s="95">
        <f>'2018-19'!P33</f>
        <v>0</v>
      </c>
    </row>
    <row r="31" spans="2:9">
      <c r="C31" s="92" t="s">
        <v>236</v>
      </c>
      <c r="F31" s="92" t="s">
        <v>233</v>
      </c>
      <c r="G31" s="95">
        <f>SUM(E28:E30)</f>
        <v>0</v>
      </c>
    </row>
    <row r="33" spans="2:9">
      <c r="B33" s="92">
        <v>8</v>
      </c>
      <c r="C33" s="92" t="s">
        <v>244</v>
      </c>
      <c r="H33" s="92" t="s">
        <v>233</v>
      </c>
      <c r="I33" s="95">
        <f>I25+G31</f>
        <v>0</v>
      </c>
    </row>
    <row r="35" spans="2:9">
      <c r="B35" s="92">
        <v>9</v>
      </c>
      <c r="C35" s="92" t="s">
        <v>246</v>
      </c>
    </row>
    <row r="36" spans="2:9">
      <c r="C36" s="92" t="s">
        <v>247</v>
      </c>
    </row>
    <row r="37" spans="2:9" ht="30">
      <c r="C37" s="93" t="s">
        <v>261</v>
      </c>
      <c r="G37" s="93" t="s">
        <v>249</v>
      </c>
      <c r="I37" s="93" t="s">
        <v>250</v>
      </c>
    </row>
    <row r="38" spans="2:9">
      <c r="C38" s="92" t="s">
        <v>262</v>
      </c>
      <c r="F38" s="92" t="s">
        <v>248</v>
      </c>
      <c r="G38" s="95">
        <f>'2018-19'!C76</f>
        <v>0</v>
      </c>
    </row>
    <row r="39" spans="2:9">
      <c r="C39" s="92" t="s">
        <v>263</v>
      </c>
      <c r="F39" s="92" t="s">
        <v>248</v>
      </c>
      <c r="G39" s="95">
        <f>'2018-19'!C74</f>
        <v>0</v>
      </c>
    </row>
    <row r="40" spans="2:9">
      <c r="C40" s="92" t="s">
        <v>264</v>
      </c>
      <c r="F40" s="92" t="s">
        <v>248</v>
      </c>
      <c r="G40" s="95">
        <f>'2018-19'!C75</f>
        <v>0</v>
      </c>
    </row>
    <row r="41" spans="2:9">
      <c r="C41" s="92" t="s">
        <v>274</v>
      </c>
      <c r="F41" s="92" t="s">
        <v>248</v>
      </c>
      <c r="G41" s="95">
        <f>'2018-19'!C82</f>
        <v>0</v>
      </c>
    </row>
    <row r="42" spans="2:9">
      <c r="C42" s="92" t="s">
        <v>265</v>
      </c>
      <c r="F42" s="92" t="s">
        <v>248</v>
      </c>
      <c r="G42" s="95">
        <f>'2018-19'!C84</f>
        <v>0</v>
      </c>
    </row>
    <row r="43" spans="2:9">
      <c r="C43" s="92" t="s">
        <v>275</v>
      </c>
      <c r="F43" s="92" t="s">
        <v>248</v>
      </c>
      <c r="G43" s="95">
        <f>'2018-19'!C73</f>
        <v>0</v>
      </c>
    </row>
    <row r="44" spans="2:9">
      <c r="C44" s="92" t="s">
        <v>276</v>
      </c>
      <c r="F44" s="92" t="s">
        <v>248</v>
      </c>
      <c r="G44" s="95">
        <f>SUM('2018-19'!C77:C78)</f>
        <v>0</v>
      </c>
    </row>
    <row r="45" spans="2:9">
      <c r="C45" s="92" t="s">
        <v>277</v>
      </c>
      <c r="F45" s="92" t="s">
        <v>248</v>
      </c>
      <c r="G45" s="95">
        <f>'2018-19'!C79</f>
        <v>0</v>
      </c>
    </row>
    <row r="46" spans="2:9">
      <c r="C46" s="92" t="s">
        <v>278</v>
      </c>
      <c r="F46" s="92" t="s">
        <v>248</v>
      </c>
      <c r="G46" s="95">
        <f>'2018-19'!C83</f>
        <v>0</v>
      </c>
    </row>
    <row r="47" spans="2:9">
      <c r="C47" s="92" t="s">
        <v>279</v>
      </c>
      <c r="F47" s="92" t="s">
        <v>248</v>
      </c>
      <c r="G47" s="95">
        <f>'2018-19'!C81</f>
        <v>0</v>
      </c>
    </row>
    <row r="48" spans="2:9">
      <c r="C48" s="92" t="s">
        <v>251</v>
      </c>
      <c r="F48" s="92" t="s">
        <v>248</v>
      </c>
      <c r="G48" s="95">
        <f>'2018-19'!C87</f>
        <v>0</v>
      </c>
    </row>
    <row r="49" spans="2:11">
      <c r="C49" s="92" t="s">
        <v>252</v>
      </c>
      <c r="F49" s="92" t="s">
        <v>248</v>
      </c>
      <c r="G49" s="95">
        <f>'2018-19'!C88</f>
        <v>0</v>
      </c>
      <c r="H49" s="92" t="s">
        <v>248</v>
      </c>
      <c r="I49" s="95">
        <f>'2018-19'!P89</f>
        <v>0</v>
      </c>
    </row>
    <row r="50" spans="2:11" ht="30">
      <c r="C50" s="93" t="s">
        <v>253</v>
      </c>
      <c r="G50" s="93" t="s">
        <v>249</v>
      </c>
      <c r="I50" s="93" t="s">
        <v>254</v>
      </c>
      <c r="K50" s="93"/>
    </row>
    <row r="51" spans="2:11">
      <c r="C51" s="92" t="s">
        <v>280</v>
      </c>
      <c r="F51" s="92" t="s">
        <v>248</v>
      </c>
      <c r="G51" s="95">
        <f>SUM('2018-19'!C91:C92)</f>
        <v>0</v>
      </c>
      <c r="H51" s="92" t="s">
        <v>248</v>
      </c>
      <c r="I51" s="95">
        <f>SUM('2018-19'!P91:P92)</f>
        <v>0</v>
      </c>
    </row>
    <row r="52" spans="2:11">
      <c r="C52" s="92" t="s">
        <v>281</v>
      </c>
      <c r="F52" s="92" t="s">
        <v>248</v>
      </c>
      <c r="G52" s="95">
        <f>'2018-19'!C93</f>
        <v>0</v>
      </c>
      <c r="H52" s="92" t="s">
        <v>248</v>
      </c>
      <c r="I52" s="95">
        <f>'2018-19'!P93</f>
        <v>0</v>
      </c>
    </row>
    <row r="53" spans="2:11">
      <c r="C53" s="92" t="s">
        <v>282</v>
      </c>
      <c r="F53" s="92" t="s">
        <v>248</v>
      </c>
      <c r="G53" s="95">
        <f>'2018-19'!C94</f>
        <v>0</v>
      </c>
      <c r="H53" s="92" t="s">
        <v>248</v>
      </c>
      <c r="I53" s="95">
        <f>'2018-19'!P94</f>
        <v>0</v>
      </c>
    </row>
    <row r="54" spans="2:11">
      <c r="C54" s="92" t="s">
        <v>283</v>
      </c>
      <c r="F54" s="92" t="s">
        <v>248</v>
      </c>
      <c r="G54" s="95">
        <f>'2018-19'!C95</f>
        <v>0</v>
      </c>
      <c r="H54" s="92" t="s">
        <v>248</v>
      </c>
      <c r="I54" s="95">
        <f>'2018-19'!P95</f>
        <v>0</v>
      </c>
    </row>
    <row r="55" spans="2:11">
      <c r="C55" s="92" t="s">
        <v>284</v>
      </c>
      <c r="F55" s="92" t="s">
        <v>248</v>
      </c>
      <c r="G55" s="95">
        <f>'2018-19'!C96</f>
        <v>0</v>
      </c>
      <c r="H55" s="92" t="s">
        <v>248</v>
      </c>
      <c r="I55" s="95">
        <f>'2018-19'!P96</f>
        <v>0</v>
      </c>
    </row>
    <row r="56" spans="2:11">
      <c r="C56" s="92" t="s">
        <v>285</v>
      </c>
      <c r="F56" s="92" t="s">
        <v>248</v>
      </c>
      <c r="G56" s="95">
        <f>'2018-19'!C99</f>
        <v>0</v>
      </c>
      <c r="H56" s="92" t="s">
        <v>248</v>
      </c>
      <c r="I56" s="95">
        <f>'2018-19'!P99</f>
        <v>0</v>
      </c>
    </row>
    <row r="57" spans="2:11">
      <c r="C57" s="92" t="s">
        <v>286</v>
      </c>
      <c r="F57" s="92" t="s">
        <v>248</v>
      </c>
      <c r="G57" s="95">
        <f>'2018-19'!C101</f>
        <v>0</v>
      </c>
      <c r="H57" s="92" t="s">
        <v>248</v>
      </c>
      <c r="I57" s="95">
        <f>'2018-19'!P101</f>
        <v>0</v>
      </c>
    </row>
    <row r="58" spans="2:11">
      <c r="C58" s="92" t="s">
        <v>287</v>
      </c>
      <c r="F58" s="92" t="s">
        <v>248</v>
      </c>
      <c r="G58" s="95">
        <f>'2018-19'!C102</f>
        <v>0</v>
      </c>
      <c r="H58" s="92" t="s">
        <v>248</v>
      </c>
      <c r="I58" s="95">
        <f>'2018-19'!P102</f>
        <v>0</v>
      </c>
    </row>
    <row r="60" spans="2:11">
      <c r="B60" s="92">
        <v>10</v>
      </c>
      <c r="C60" s="92" t="s">
        <v>255</v>
      </c>
      <c r="H60" s="92" t="s">
        <v>248</v>
      </c>
      <c r="I60" s="95">
        <f>I49+SUM(I51:I58)</f>
        <v>0</v>
      </c>
    </row>
    <row r="62" spans="2:11">
      <c r="B62" s="92">
        <v>11</v>
      </c>
      <c r="C62" s="92" t="s">
        <v>256</v>
      </c>
      <c r="H62" s="92" t="s">
        <v>248</v>
      </c>
      <c r="I62" s="95">
        <f>I33-I60</f>
        <v>0</v>
      </c>
    </row>
    <row r="64" spans="2:11">
      <c r="B64" s="92">
        <v>12</v>
      </c>
      <c r="C64" s="92" t="s">
        <v>257</v>
      </c>
      <c r="H64" s="92" t="s">
        <v>248</v>
      </c>
      <c r="I64" s="95">
        <f>'2018-19'!P114</f>
        <v>0</v>
      </c>
    </row>
    <row r="66" spans="2:9">
      <c r="B66" s="92">
        <v>13</v>
      </c>
      <c r="C66" s="92" t="s">
        <v>288</v>
      </c>
      <c r="H66" s="92" t="s">
        <v>248</v>
      </c>
      <c r="I66" s="95">
        <f>'2018-19'!P115</f>
        <v>0</v>
      </c>
    </row>
    <row r="68" spans="2:9">
      <c r="B68" s="92">
        <v>14</v>
      </c>
      <c r="C68" s="92" t="s">
        <v>258</v>
      </c>
      <c r="H68" s="92" t="s">
        <v>248</v>
      </c>
      <c r="I68" s="95">
        <f>I64+I66</f>
        <v>0</v>
      </c>
    </row>
    <row r="70" spans="2:9">
      <c r="B70" s="92">
        <v>15</v>
      </c>
      <c r="C70" s="92" t="s">
        <v>259</v>
      </c>
      <c r="H70" s="92" t="s">
        <v>248</v>
      </c>
      <c r="I70" s="95">
        <v>0</v>
      </c>
    </row>
    <row r="72" spans="2:9">
      <c r="B72" s="92">
        <v>16</v>
      </c>
      <c r="C72" s="92" t="s">
        <v>260</v>
      </c>
      <c r="H72" s="92" t="s">
        <v>248</v>
      </c>
      <c r="I72" s="95">
        <f>I68-I70</f>
        <v>0</v>
      </c>
    </row>
  </sheetData>
  <sheetProtection password="CA98" sheet="1" objects="1" scenarios="1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2018-19</vt:lpstr>
      <vt:lpstr>Savings</vt:lpstr>
      <vt:lpstr>Tax Computation</vt:lpstr>
      <vt:lpstr>Savings!Print_Area</vt:lpstr>
      <vt:lpstr>Yes</vt:lpstr>
    </vt:vector>
  </TitlesOfParts>
  <Company>impetus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Batra</dc:creator>
  <cp:lastModifiedBy>HOME</cp:lastModifiedBy>
  <cp:lastPrinted>2005-07-21T07:32:21Z</cp:lastPrinted>
  <dcterms:created xsi:type="dcterms:W3CDTF">2004-12-23T07:38:21Z</dcterms:created>
  <dcterms:modified xsi:type="dcterms:W3CDTF">2021-03-02T05:44:14Z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-771808776</vt:i4>
  </property>
  <property fmtid="{D5CDD505-2E9C-101B-9397-08002B2CF9AE}" pid="3" name="_EmailSubject">
    <vt:lpwstr>Upload</vt:lpwstr>
  </property>
  <property fmtid="{D5CDD505-2E9C-101B-9397-08002B2CF9AE}" pid="4" name="_AuthorEmail">
    <vt:lpwstr>hemant.karandikar@impetus.co.in</vt:lpwstr>
  </property>
  <property fmtid="{D5CDD505-2E9C-101B-9397-08002B2CF9AE}" pid="5" name="_AuthorEmailDisplayName">
    <vt:lpwstr>Hemant Karandikar</vt:lpwstr>
  </property>
  <property fmtid="{D5CDD505-2E9C-101B-9397-08002B2CF9AE}" pid="6" name="_PreviousAdHocReviewCycleID">
    <vt:i4>-1174327945</vt:i4>
  </property>
  <property fmtid="{D5CDD505-2E9C-101B-9397-08002B2CF9AE}" pid="7" name="_ReviewingToolsShownOnce">
    <vt:lpwstr/>
  </property>
</Properties>
</file>